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4200" yWindow="2260" windowWidth="25600" windowHeight="18640"/>
  </bookViews>
  <sheets>
    <sheet name="入力" sheetId="1" r:id="rId1"/>
    <sheet name="ニーズ仮説" sheetId="3" r:id="rId2"/>
    <sheet name="ニーズの考え方" sheetId="7" r:id="rId3"/>
    <sheet name="株価計算" sheetId="2" r:id="rId4"/>
    <sheet name="資産税" sheetId="4" r:id="rId5"/>
    <sheet name="株主資本変動" sheetId="9" r:id="rId6"/>
    <sheet name="株価10年推移" sheetId="8" r:id="rId7"/>
    <sheet name="Ver" sheetId="5" r:id="rId8"/>
  </sheets>
  <externalReferences>
    <externalReference r:id="rId9"/>
    <externalReference r:id="rId10"/>
  </externalReferences>
  <definedNames>
    <definedName name="KAZ" localSheetId="5">[1]資産税!$F$4</definedName>
    <definedName name="KAZ">資産税!$F$4</definedName>
    <definedName name="KAZU" localSheetId="5">[1]資産税!#REF!</definedName>
    <definedName name="KAZU">資産税!#REF!</definedName>
    <definedName name="KISO" localSheetId="5">[1]資産税!$F$29</definedName>
    <definedName name="KISO">資産税!$F$29</definedName>
    <definedName name="SOU" localSheetId="5">[1]資産税!$F$30</definedName>
    <definedName name="SOU">資産税!$F$30</definedName>
    <definedName name="SRATE" localSheetId="5">[1]資産税!$L$6:$N$14</definedName>
    <definedName name="SRATE">資産税!$L$6:$N$14</definedName>
    <definedName name="TBL" localSheetId="6">株価10年推移!$R$8:$T$12</definedName>
    <definedName name="TBL" localSheetId="5">[1]株価計算!$M$31:$O$35</definedName>
    <definedName name="TBL">株価計算!$M$31:$O$35</definedName>
    <definedName name="ZKISO">[2]総合税率表!$H$5</definedName>
    <definedName name="ZOY" localSheetId="5">[1]資産税!$E$4</definedName>
    <definedName name="ZOY">資産税!$E$4</definedName>
    <definedName name="ZRATE" localSheetId="5">[1]資産税!$Q$6:$S$15</definedName>
    <definedName name="ZRATE">資産税!$Q$6:$S$15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2" i="2"/>
  <c r="F8" i="2"/>
  <c r="E16" i="2"/>
  <c r="D16" i="2"/>
  <c r="F6" i="2"/>
  <c r="E6" i="2"/>
  <c r="D6" i="2"/>
  <c r="G6" i="2"/>
  <c r="F7" i="2"/>
  <c r="E7" i="2"/>
  <c r="D7" i="2"/>
  <c r="G7" i="2"/>
  <c r="E8" i="2"/>
  <c r="D8" i="2"/>
  <c r="G8" i="2"/>
  <c r="G9" i="2"/>
  <c r="D11" i="2"/>
  <c r="H34" i="1"/>
  <c r="G21" i="1"/>
  <c r="D9" i="2"/>
  <c r="D15" i="2"/>
  <c r="E11" i="2"/>
  <c r="D17" i="2"/>
  <c r="L41" i="2"/>
  <c r="D22" i="2"/>
  <c r="E22" i="2"/>
  <c r="E28" i="2"/>
  <c r="G30" i="1"/>
  <c r="G31" i="1"/>
  <c r="H5" i="9"/>
  <c r="H14" i="9"/>
  <c r="H23" i="9"/>
  <c r="H28" i="9"/>
  <c r="I7" i="9"/>
  <c r="D20" i="2"/>
  <c r="G23" i="2"/>
  <c r="D8" i="8"/>
  <c r="E8" i="8"/>
  <c r="D9" i="8"/>
  <c r="H29" i="9"/>
  <c r="E7" i="8"/>
  <c r="E9" i="8"/>
  <c r="F8" i="8"/>
  <c r="F7" i="8"/>
  <c r="F9" i="8"/>
  <c r="G8" i="8"/>
  <c r="G7" i="8"/>
  <c r="G9" i="8"/>
  <c r="H8" i="8"/>
  <c r="H7" i="8"/>
  <c r="H9" i="8"/>
  <c r="I8" i="8"/>
  <c r="I7" i="8"/>
  <c r="I9" i="8"/>
  <c r="J8" i="8"/>
  <c r="J7" i="8"/>
  <c r="J9" i="8"/>
  <c r="K8" i="8"/>
  <c r="K7" i="8"/>
  <c r="K9" i="8"/>
  <c r="L8" i="8"/>
  <c r="L7" i="8"/>
  <c r="L9" i="8"/>
  <c r="M8" i="8"/>
  <c r="M7" i="8"/>
  <c r="M9" i="8"/>
  <c r="N8" i="8"/>
  <c r="N7" i="8"/>
  <c r="N9" i="8"/>
  <c r="H24" i="9"/>
  <c r="H15" i="9"/>
  <c r="H6" i="9"/>
  <c r="G7" i="9"/>
  <c r="G12" i="9"/>
  <c r="G16" i="9"/>
  <c r="D7" i="9"/>
  <c r="D12" i="9"/>
  <c r="D16" i="9"/>
  <c r="E7" i="9"/>
  <c r="E12" i="9"/>
  <c r="E16" i="9"/>
  <c r="F7" i="9"/>
  <c r="F12" i="9"/>
  <c r="F16" i="9"/>
  <c r="H16" i="9"/>
  <c r="G21" i="9"/>
  <c r="G25" i="9"/>
  <c r="D21" i="9"/>
  <c r="D25" i="9"/>
  <c r="E21" i="9"/>
  <c r="E25" i="9"/>
  <c r="F21" i="9"/>
  <c r="F25" i="9"/>
  <c r="H25" i="9"/>
  <c r="K21" i="1"/>
  <c r="K8" i="1"/>
  <c r="K14" i="1"/>
  <c r="K10" i="1"/>
  <c r="K15" i="1"/>
  <c r="K9" i="1"/>
  <c r="K13" i="1"/>
  <c r="J29" i="1"/>
  <c r="H3" i="9"/>
  <c r="H21" i="9"/>
  <c r="H12" i="9"/>
  <c r="H7" i="9"/>
  <c r="Q14" i="8"/>
  <c r="D7" i="8"/>
  <c r="D17" i="8"/>
  <c r="D16" i="8"/>
  <c r="D15" i="8"/>
  <c r="D14" i="8"/>
  <c r="B6" i="8"/>
  <c r="B5" i="8"/>
  <c r="N23" i="8"/>
  <c r="E17" i="8"/>
  <c r="F17" i="8"/>
  <c r="G17" i="8"/>
  <c r="H17" i="8"/>
  <c r="I17" i="8"/>
  <c r="J17" i="8"/>
  <c r="K17" i="8"/>
  <c r="L17" i="8"/>
  <c r="M17" i="8"/>
  <c r="N17" i="8"/>
  <c r="B9" i="8"/>
  <c r="N11" i="8"/>
  <c r="F14" i="8"/>
  <c r="G14" i="8"/>
  <c r="H14" i="8"/>
  <c r="I14" i="8"/>
  <c r="J14" i="8"/>
  <c r="K14" i="8"/>
  <c r="L14" i="8"/>
  <c r="M14" i="8"/>
  <c r="N14" i="8"/>
  <c r="N12" i="8"/>
  <c r="F15" i="8"/>
  <c r="G15" i="8"/>
  <c r="H15" i="8"/>
  <c r="I15" i="8"/>
  <c r="J15" i="8"/>
  <c r="K15" i="8"/>
  <c r="L15" i="8"/>
  <c r="M15" i="8"/>
  <c r="N15" i="8"/>
  <c r="N13" i="8"/>
  <c r="F16" i="8"/>
  <c r="G16" i="8"/>
  <c r="H16" i="8"/>
  <c r="I16" i="8"/>
  <c r="J16" i="8"/>
  <c r="K16" i="8"/>
  <c r="L16" i="8"/>
  <c r="M16" i="8"/>
  <c r="N16" i="8"/>
  <c r="N19" i="8"/>
  <c r="D20" i="8"/>
  <c r="E20" i="8"/>
  <c r="F20" i="8"/>
  <c r="G20" i="8"/>
  <c r="H20" i="8"/>
  <c r="I20" i="8"/>
  <c r="J20" i="8"/>
  <c r="K20" i="8"/>
  <c r="L20" i="8"/>
  <c r="M20" i="8"/>
  <c r="N20" i="8"/>
  <c r="D21" i="8"/>
  <c r="E21" i="8"/>
  <c r="F21" i="8"/>
  <c r="G21" i="8"/>
  <c r="H21" i="8"/>
  <c r="I21" i="8"/>
  <c r="J21" i="8"/>
  <c r="K21" i="8"/>
  <c r="L21" i="8"/>
  <c r="M21" i="8"/>
  <c r="N21" i="8"/>
  <c r="N24" i="8"/>
  <c r="D22" i="8"/>
  <c r="E22" i="8"/>
  <c r="F22" i="8"/>
  <c r="G22" i="8"/>
  <c r="H22" i="8"/>
  <c r="I22" i="8"/>
  <c r="J22" i="8"/>
  <c r="K22" i="8"/>
  <c r="L22" i="8"/>
  <c r="M22" i="8"/>
  <c r="N22" i="8"/>
  <c r="N25" i="8"/>
  <c r="N27" i="8"/>
  <c r="N28" i="8"/>
  <c r="M23" i="8"/>
  <c r="M11" i="8"/>
  <c r="M12" i="8"/>
  <c r="M13" i="8"/>
  <c r="M19" i="8"/>
  <c r="M24" i="8"/>
  <c r="M25" i="8"/>
  <c r="M27" i="8"/>
  <c r="M28" i="8"/>
  <c r="L23" i="8"/>
  <c r="L11" i="8"/>
  <c r="L12" i="8"/>
  <c r="L13" i="8"/>
  <c r="L19" i="8"/>
  <c r="L24" i="8"/>
  <c r="L25" i="8"/>
  <c r="L27" i="8"/>
  <c r="L28" i="8"/>
  <c r="K23" i="8"/>
  <c r="K11" i="8"/>
  <c r="K12" i="8"/>
  <c r="K13" i="8"/>
  <c r="K19" i="8"/>
  <c r="K24" i="8"/>
  <c r="K25" i="8"/>
  <c r="K27" i="8"/>
  <c r="K28" i="8"/>
  <c r="J23" i="8"/>
  <c r="J11" i="8"/>
  <c r="J12" i="8"/>
  <c r="J13" i="8"/>
  <c r="J19" i="8"/>
  <c r="J24" i="8"/>
  <c r="J25" i="8"/>
  <c r="J27" i="8"/>
  <c r="J28" i="8"/>
  <c r="I23" i="8"/>
  <c r="I11" i="8"/>
  <c r="I12" i="8"/>
  <c r="I13" i="8"/>
  <c r="I19" i="8"/>
  <c r="I24" i="8"/>
  <c r="I25" i="8"/>
  <c r="I27" i="8"/>
  <c r="I28" i="8"/>
  <c r="H23" i="8"/>
  <c r="H11" i="8"/>
  <c r="H12" i="8"/>
  <c r="H13" i="8"/>
  <c r="H19" i="8"/>
  <c r="H24" i="8"/>
  <c r="H25" i="8"/>
  <c r="H27" i="8"/>
  <c r="H28" i="8"/>
  <c r="G23" i="8"/>
  <c r="G11" i="8"/>
  <c r="G12" i="8"/>
  <c r="G13" i="8"/>
  <c r="G19" i="8"/>
  <c r="G24" i="8"/>
  <c r="G25" i="8"/>
  <c r="G27" i="8"/>
  <c r="G28" i="8"/>
  <c r="F23" i="8"/>
  <c r="F11" i="8"/>
  <c r="F12" i="8"/>
  <c r="F13" i="8"/>
  <c r="F19" i="8"/>
  <c r="F24" i="8"/>
  <c r="F25" i="8"/>
  <c r="F27" i="8"/>
  <c r="F28" i="8"/>
  <c r="E23" i="8"/>
  <c r="E11" i="8"/>
  <c r="E14" i="8"/>
  <c r="E12" i="8"/>
  <c r="E15" i="8"/>
  <c r="E13" i="8"/>
  <c r="E16" i="8"/>
  <c r="E19" i="8"/>
  <c r="E24" i="8"/>
  <c r="E25" i="8"/>
  <c r="E27" i="8"/>
  <c r="E28" i="8"/>
  <c r="D23" i="8"/>
  <c r="D11" i="8"/>
  <c r="D12" i="8"/>
  <c r="D13" i="8"/>
  <c r="D19" i="8"/>
  <c r="D24" i="8"/>
  <c r="D25" i="8"/>
  <c r="D27" i="8"/>
  <c r="D28" i="8"/>
  <c r="F12" i="3"/>
  <c r="F13" i="3"/>
  <c r="E20" i="1"/>
  <c r="G22" i="2"/>
  <c r="C11" i="4"/>
  <c r="C24" i="4"/>
  <c r="G30" i="4"/>
  <c r="D24" i="4"/>
  <c r="E24" i="4"/>
  <c r="C17" i="4"/>
  <c r="E15" i="2"/>
  <c r="D11" i="4"/>
  <c r="E11" i="4"/>
  <c r="F11" i="4"/>
  <c r="F14" i="4"/>
  <c r="G11" i="4"/>
  <c r="G14" i="4"/>
  <c r="H14" i="4"/>
  <c r="D14" i="4"/>
  <c r="E14" i="4"/>
  <c r="I14" i="4"/>
  <c r="F16" i="3"/>
  <c r="C4" i="4"/>
  <c r="F4" i="4"/>
  <c r="G4" i="4"/>
  <c r="F19" i="3"/>
  <c r="F15" i="3"/>
  <c r="F20" i="3"/>
  <c r="F8" i="3"/>
  <c r="F7" i="3"/>
  <c r="F4" i="3"/>
  <c r="F3" i="3"/>
  <c r="G24" i="4"/>
  <c r="D17" i="4"/>
  <c r="E17" i="4"/>
  <c r="G17" i="4"/>
  <c r="E20" i="2"/>
  <c r="D1" i="5"/>
  <c r="C1" i="5"/>
  <c r="G27" i="4"/>
  <c r="H27" i="4"/>
  <c r="I27" i="4"/>
  <c r="E17" i="2"/>
  <c r="G20" i="4"/>
  <c r="H20" i="4"/>
  <c r="I20" i="4"/>
  <c r="J37" i="2"/>
  <c r="J36" i="2"/>
  <c r="J35" i="2"/>
  <c r="G23" i="1"/>
  <c r="F18" i="3"/>
  <c r="F17" i="3"/>
  <c r="F10" i="3"/>
  <c r="F11" i="3"/>
  <c r="G7" i="4"/>
  <c r="E19" i="1"/>
  <c r="E15" i="1"/>
  <c r="E14" i="1"/>
</calcChain>
</file>

<file path=xl/sharedStrings.xml><?xml version="1.0" encoding="utf-8"?>
<sst xmlns="http://schemas.openxmlformats.org/spreadsheetml/2006/main" count="478" uniqueCount="299">
  <si>
    <t>社長</t>
  </si>
  <si>
    <t>年齢</t>
  </si>
  <si>
    <t>経験</t>
  </si>
  <si>
    <t>手腕</t>
  </si>
  <si>
    <t>従業員数</t>
  </si>
  <si>
    <t>売上</t>
  </si>
  <si>
    <t>経常利益</t>
  </si>
  <si>
    <t>税引前当期損益</t>
  </si>
  <si>
    <t>総資産</t>
  </si>
  <si>
    <t>現預金</t>
  </si>
  <si>
    <t>純資産</t>
  </si>
  <si>
    <t>配当</t>
  </si>
  <si>
    <t>業種</t>
    <rPh sb="0" eb="2">
      <t>ギョウシュ</t>
    </rPh>
    <phoneticPr fontId="3"/>
  </si>
  <si>
    <t>利益</t>
    <rPh sb="0" eb="2">
      <t>リエk</t>
    </rPh>
    <phoneticPr fontId="3"/>
  </si>
  <si>
    <t>配当</t>
    <rPh sb="0" eb="2">
      <t>ハイト</t>
    </rPh>
    <phoneticPr fontId="3"/>
  </si>
  <si>
    <t>純資産</t>
    <rPh sb="0" eb="3">
      <t>ジュンシサン</t>
    </rPh>
    <phoneticPr fontId="3"/>
  </si>
  <si>
    <t>株価</t>
    <rPh sb="0" eb="2">
      <t>カb</t>
    </rPh>
    <phoneticPr fontId="3"/>
  </si>
  <si>
    <t>資本金</t>
    <rPh sb="0" eb="3">
      <t>シh</t>
    </rPh>
    <phoneticPr fontId="3"/>
  </si>
  <si>
    <t>50円株数</t>
    <rPh sb="2" eb="3">
      <t>エン</t>
    </rPh>
    <rPh sb="3" eb="5">
      <t>カブス</t>
    </rPh>
    <phoneticPr fontId="3"/>
  </si>
  <si>
    <t>総額　千円</t>
    <rPh sb="0" eb="2">
      <t>ソウガk</t>
    </rPh>
    <rPh sb="3" eb="5">
      <t>センエン</t>
    </rPh>
    <phoneticPr fontId="3"/>
  </si>
  <si>
    <t>生存退職金</t>
    <rPh sb="0" eb="5">
      <t>セイゾン</t>
    </rPh>
    <phoneticPr fontId="3"/>
  </si>
  <si>
    <t>斟酌率</t>
    <rPh sb="0" eb="3">
      <t>シンsh</t>
    </rPh>
    <phoneticPr fontId="3"/>
  </si>
  <si>
    <t>株価：類似</t>
    <rPh sb="0" eb="2">
      <t>カb</t>
    </rPh>
    <rPh sb="3" eb="5">
      <t>ル</t>
    </rPh>
    <phoneticPr fontId="3"/>
  </si>
  <si>
    <t>併用</t>
    <rPh sb="0" eb="2">
      <t>ヘイヨ</t>
    </rPh>
    <phoneticPr fontId="3"/>
  </si>
  <si>
    <t>死亡退職金</t>
    <rPh sb="0" eb="2">
      <t>シボウ</t>
    </rPh>
    <rPh sb="2" eb="5">
      <t>タイショクキン</t>
    </rPh>
    <phoneticPr fontId="3"/>
  </si>
  <si>
    <t>仕事経験</t>
    <rPh sb="0" eb="2">
      <t>シゴト</t>
    </rPh>
    <phoneticPr fontId="3"/>
  </si>
  <si>
    <t>中</t>
    <rPh sb="0" eb="1">
      <t>チュウ</t>
    </rPh>
    <phoneticPr fontId="3"/>
  </si>
  <si>
    <t>SRATE</t>
  </si>
  <si>
    <t>平成27年から(2015)</t>
    <phoneticPr fontId="8"/>
  </si>
  <si>
    <t>相続税率</t>
    <rPh sb="0" eb="2">
      <t>ソウゾク</t>
    </rPh>
    <rPh sb="2" eb="4">
      <t>ゼイリツ</t>
    </rPh>
    <phoneticPr fontId="8"/>
  </si>
  <si>
    <t>ZRATE</t>
  </si>
  <si>
    <t>平成15年から(2003)</t>
    <phoneticPr fontId="8"/>
  </si>
  <si>
    <t>贈与税</t>
    <rPh sb="0" eb="3">
      <t>ゾウヨゼイ</t>
    </rPh>
    <phoneticPr fontId="13"/>
  </si>
  <si>
    <t>贈与額</t>
  </si>
  <si>
    <t>万円</t>
    <rPh sb="0" eb="2">
      <t>マンエン</t>
    </rPh>
    <phoneticPr fontId="9"/>
  </si>
  <si>
    <t>控除</t>
  </si>
  <si>
    <t>課税標準</t>
    <rPh sb="2" eb="4">
      <t>ヒョウジュン</t>
    </rPh>
    <phoneticPr fontId="9"/>
  </si>
  <si>
    <t>贈与税額</t>
  </si>
  <si>
    <t>実効税率</t>
    <rPh sb="0" eb="2">
      <t>ジッコウ</t>
    </rPh>
    <rPh sb="2" eb="4">
      <t>ゼイリツ</t>
    </rPh>
    <phoneticPr fontId="9"/>
  </si>
  <si>
    <t>子人数</t>
    <rPh sb="0" eb="1">
      <t>コ</t>
    </rPh>
    <rPh sb="1" eb="3">
      <t>ニンズウ</t>
    </rPh>
    <phoneticPr fontId="3"/>
  </si>
  <si>
    <t>人</t>
    <rPh sb="0" eb="1">
      <t>ニン</t>
    </rPh>
    <phoneticPr fontId="3"/>
  </si>
  <si>
    <t>相続財産</t>
    <rPh sb="0" eb="2">
      <t>ソウゾク</t>
    </rPh>
    <rPh sb="2" eb="4">
      <t>ザイサン</t>
    </rPh>
    <phoneticPr fontId="8"/>
  </si>
  <si>
    <t>控除</t>
    <rPh sb="0" eb="2">
      <t>コウジョ</t>
    </rPh>
    <phoneticPr fontId="8"/>
  </si>
  <si>
    <t>控除後</t>
    <rPh sb="0" eb="2">
      <t>コウジョ</t>
    </rPh>
    <rPh sb="2" eb="3">
      <t>ゴ</t>
    </rPh>
    <phoneticPr fontId="8"/>
  </si>
  <si>
    <t>配偶者</t>
    <rPh sb="0" eb="3">
      <t>ハイグウシャ</t>
    </rPh>
    <phoneticPr fontId="8"/>
  </si>
  <si>
    <t>子一人</t>
    <rPh sb="0" eb="1">
      <t>コ</t>
    </rPh>
    <rPh sb="1" eb="3">
      <t>ヒトリ</t>
    </rPh>
    <phoneticPr fontId="8"/>
  </si>
  <si>
    <t>配偶者税</t>
    <rPh sb="0" eb="3">
      <t>ハイグウシャ</t>
    </rPh>
    <rPh sb="3" eb="4">
      <t>ゼイ</t>
    </rPh>
    <phoneticPr fontId="8"/>
  </si>
  <si>
    <t>子一人税</t>
    <rPh sb="0" eb="1">
      <t>コ</t>
    </rPh>
    <rPh sb="1" eb="3">
      <t>ヒトリ</t>
    </rPh>
    <rPh sb="3" eb="4">
      <t>ゼイ</t>
    </rPh>
    <phoneticPr fontId="8"/>
  </si>
  <si>
    <t>税合計</t>
    <rPh sb="0" eb="1">
      <t>ゼイ</t>
    </rPh>
    <rPh sb="1" eb="3">
      <t>ゴウケイ</t>
    </rPh>
    <phoneticPr fontId="8"/>
  </si>
  <si>
    <t>配あり</t>
    <rPh sb="0" eb="1">
      <t>ハイ</t>
    </rPh>
    <phoneticPr fontId="8"/>
  </si>
  <si>
    <t>配なし</t>
    <rPh sb="0" eb="1">
      <t>ハイ</t>
    </rPh>
    <phoneticPr fontId="8"/>
  </si>
  <si>
    <t>相続対策</t>
    <rPh sb="0" eb="2">
      <t>ソウゾク</t>
    </rPh>
    <rPh sb="2" eb="4">
      <t>タイサク</t>
    </rPh>
    <phoneticPr fontId="3"/>
  </si>
  <si>
    <t>株式の集中度</t>
    <rPh sb="0" eb="2">
      <t>カブシキ</t>
    </rPh>
    <rPh sb="3" eb="6">
      <t>シュウチュウド</t>
    </rPh>
    <phoneticPr fontId="3"/>
  </si>
  <si>
    <t>相続問題</t>
    <rPh sb="0" eb="2">
      <t>ソウゾク</t>
    </rPh>
    <rPh sb="2" eb="4">
      <t>モンダイ</t>
    </rPh>
    <phoneticPr fontId="3"/>
  </si>
  <si>
    <t>不動産その他</t>
    <rPh sb="0" eb="3">
      <t>フドウサン</t>
    </rPh>
    <rPh sb="5" eb="6">
      <t>タ</t>
    </rPh>
    <phoneticPr fontId="3"/>
  </si>
  <si>
    <t>年</t>
    <rPh sb="0" eb="1">
      <t>ネン</t>
    </rPh>
    <phoneticPr fontId="3"/>
  </si>
  <si>
    <t>金額は千円</t>
    <rPh sb="0" eb="2">
      <t>キンガク</t>
    </rPh>
    <rPh sb="3" eb="5">
      <t>センエン</t>
    </rPh>
    <phoneticPr fontId="3"/>
  </si>
  <si>
    <t>相続税</t>
    <rPh sb="0" eb="3">
      <t>ソウゾクゼイ</t>
    </rPh>
    <phoneticPr fontId="3"/>
  </si>
  <si>
    <t>贈与税</t>
    <rPh sb="0" eb="3">
      <t>ゾウヨゼイ</t>
    </rPh>
    <phoneticPr fontId="3"/>
  </si>
  <si>
    <t>千円</t>
    <rPh sb="0" eb="2">
      <t>センエン</t>
    </rPh>
    <phoneticPr fontId="3"/>
  </si>
  <si>
    <t>株価</t>
    <rPh sb="0" eb="2">
      <t>カブカ</t>
    </rPh>
    <phoneticPr fontId="3"/>
  </si>
  <si>
    <t>千円：2次</t>
    <rPh sb="0" eb="2">
      <t>センエン</t>
    </rPh>
    <rPh sb="3" eb="5">
      <t>ニジ</t>
    </rPh>
    <phoneticPr fontId="3"/>
  </si>
  <si>
    <t>７０歳まで</t>
    <rPh sb="2" eb="3">
      <t>サイ</t>
    </rPh>
    <phoneticPr fontId="3"/>
  </si>
  <si>
    <t>株価</t>
    <rPh sb="0" eb="2">
      <t>カブカ</t>
    </rPh>
    <phoneticPr fontId="3"/>
  </si>
  <si>
    <t>基準配当</t>
    <rPh sb="0" eb="2">
      <t>キジュン</t>
    </rPh>
    <rPh sb="2" eb="4">
      <t>ハイトウ</t>
    </rPh>
    <phoneticPr fontId="3"/>
  </si>
  <si>
    <t>基準純資産</t>
    <rPh sb="0" eb="2">
      <t>キジュン</t>
    </rPh>
    <rPh sb="2" eb="5">
      <t>ジュンシサン</t>
    </rPh>
    <phoneticPr fontId="3"/>
  </si>
  <si>
    <t>基準利益</t>
    <rPh sb="0" eb="2">
      <t>キジュン</t>
    </rPh>
    <rPh sb="2" eb="4">
      <t>リエキ</t>
    </rPh>
    <phoneticPr fontId="3"/>
  </si>
  <si>
    <t>企業規模</t>
    <rPh sb="0" eb="4">
      <t>キギョウキボ</t>
    </rPh>
    <phoneticPr fontId="3"/>
  </si>
  <si>
    <t>Code</t>
    <phoneticPr fontId="3"/>
  </si>
  <si>
    <t>①</t>
    <phoneticPr fontId="15"/>
  </si>
  <si>
    <t>従業員70人以上は常に「大会社」</t>
    <rPh sb="0" eb="3">
      <t>ジュウギョウイン</t>
    </rPh>
    <rPh sb="5" eb="8">
      <t>ニンイジョウ</t>
    </rPh>
    <rPh sb="9" eb="10">
      <t>ツネ</t>
    </rPh>
    <rPh sb="12" eb="13">
      <t>ダイ</t>
    </rPh>
    <rPh sb="13" eb="15">
      <t>カイシャ</t>
    </rPh>
    <phoneticPr fontId="15"/>
  </si>
  <si>
    <t>②</t>
    <phoneticPr fontId="15"/>
  </si>
  <si>
    <t>従業員70人未満は取引基準・資産基準で会社規模を決定（大きい方を選択）</t>
    <rPh sb="0" eb="3">
      <t>ジュウギョウイン</t>
    </rPh>
    <rPh sb="6" eb="8">
      <t>ミマン</t>
    </rPh>
    <rPh sb="9" eb="11">
      <t>トリヒキ</t>
    </rPh>
    <rPh sb="11" eb="13">
      <t>キジュン</t>
    </rPh>
    <rPh sb="14" eb="16">
      <t>シサン</t>
    </rPh>
    <rPh sb="16" eb="18">
      <t>キジュン</t>
    </rPh>
    <rPh sb="19" eb="21">
      <t>カイシャ</t>
    </rPh>
    <rPh sb="21" eb="23">
      <t>キボ</t>
    </rPh>
    <rPh sb="24" eb="26">
      <t>ケッテイ</t>
    </rPh>
    <rPh sb="27" eb="28">
      <t>オオ</t>
    </rPh>
    <rPh sb="30" eb="31">
      <t>ホウ</t>
    </rPh>
    <rPh sb="32" eb="34">
      <t>センタク</t>
    </rPh>
    <phoneticPr fontId="15"/>
  </si>
  <si>
    <t>≪卸売≫</t>
    <rPh sb="1" eb="3">
      <t>オロシウリ</t>
    </rPh>
    <phoneticPr fontId="8"/>
  </si>
  <si>
    <t>規模</t>
    <rPh sb="0" eb="2">
      <t>キボ</t>
    </rPh>
    <phoneticPr fontId="15"/>
  </si>
  <si>
    <t>取引基準</t>
    <rPh sb="0" eb="2">
      <t>トリヒキ</t>
    </rPh>
    <rPh sb="2" eb="4">
      <t>キジュン</t>
    </rPh>
    <phoneticPr fontId="15"/>
  </si>
  <si>
    <t>総資産基準</t>
    <rPh sb="0" eb="3">
      <t>ソウシサン</t>
    </rPh>
    <rPh sb="3" eb="5">
      <t>キジュン</t>
    </rPh>
    <phoneticPr fontId="15"/>
  </si>
  <si>
    <t>7000万円未満</t>
    <rPh sb="4" eb="6">
      <t>マンエン</t>
    </rPh>
    <rPh sb="6" eb="8">
      <t>ミマン</t>
    </rPh>
    <phoneticPr fontId="15"/>
  </si>
  <si>
    <t>7000万～2億</t>
    <rPh sb="4" eb="5">
      <t>マン</t>
    </rPh>
    <rPh sb="7" eb="8">
      <t>オク</t>
    </rPh>
    <phoneticPr fontId="15"/>
  </si>
  <si>
    <t>2億以上～4億</t>
    <rPh sb="1" eb="2">
      <t>オク</t>
    </rPh>
    <rPh sb="2" eb="4">
      <t>イジョウ</t>
    </rPh>
    <rPh sb="6" eb="7">
      <t>オク</t>
    </rPh>
    <phoneticPr fontId="15"/>
  </si>
  <si>
    <t>4億以上～20億</t>
    <rPh sb="1" eb="2">
      <t>オク</t>
    </rPh>
    <rPh sb="2" eb="4">
      <t>イジョウ</t>
    </rPh>
    <rPh sb="7" eb="8">
      <t>オク</t>
    </rPh>
    <phoneticPr fontId="15"/>
  </si>
  <si>
    <t>20億以上</t>
    <rPh sb="2" eb="5">
      <t>オクイジョウ</t>
    </rPh>
    <phoneticPr fontId="15"/>
  </si>
  <si>
    <t>大会社</t>
    <rPh sb="0" eb="1">
      <t>ダイ</t>
    </rPh>
    <rPh sb="1" eb="3">
      <t>カイシャ</t>
    </rPh>
    <phoneticPr fontId="15"/>
  </si>
  <si>
    <t>30億以上</t>
    <rPh sb="2" eb="5">
      <t>オクイジョウ</t>
    </rPh>
    <phoneticPr fontId="15"/>
  </si>
  <si>
    <t>35人超</t>
    <rPh sb="2" eb="3">
      <t>ニン</t>
    </rPh>
    <rPh sb="3" eb="4">
      <t>チョウ</t>
    </rPh>
    <phoneticPr fontId="15"/>
  </si>
  <si>
    <t>中会社</t>
    <rPh sb="0" eb="1">
      <t>チュウ</t>
    </rPh>
    <rPh sb="1" eb="3">
      <t>カイシャ</t>
    </rPh>
    <phoneticPr fontId="15"/>
  </si>
  <si>
    <t>大</t>
    <rPh sb="0" eb="1">
      <t>ダイ</t>
    </rPh>
    <phoneticPr fontId="15"/>
  </si>
  <si>
    <t>7億以上～30億</t>
    <rPh sb="1" eb="2">
      <t>オク</t>
    </rPh>
    <rPh sb="2" eb="4">
      <t>イジョウ</t>
    </rPh>
    <rPh sb="7" eb="8">
      <t>オク</t>
    </rPh>
    <phoneticPr fontId="15"/>
  </si>
  <si>
    <t>中の大</t>
    <rPh sb="0" eb="1">
      <t>チュウ</t>
    </rPh>
    <rPh sb="2" eb="3">
      <t>ダイ</t>
    </rPh>
    <phoneticPr fontId="15"/>
  </si>
  <si>
    <t>中</t>
    <rPh sb="0" eb="1">
      <t>チュウ</t>
    </rPh>
    <phoneticPr fontId="15"/>
  </si>
  <si>
    <t>3.5億以上～7億</t>
    <rPh sb="3" eb="4">
      <t>オク</t>
    </rPh>
    <rPh sb="4" eb="6">
      <t>イジョウ</t>
    </rPh>
    <rPh sb="8" eb="9">
      <t>オク</t>
    </rPh>
    <phoneticPr fontId="15"/>
  </si>
  <si>
    <t>20人超</t>
    <rPh sb="2" eb="3">
      <t>ニン</t>
    </rPh>
    <rPh sb="3" eb="4">
      <t>チョウ</t>
    </rPh>
    <phoneticPr fontId="15"/>
  </si>
  <si>
    <t>中の中</t>
    <rPh sb="0" eb="1">
      <t>チュウ</t>
    </rPh>
    <rPh sb="2" eb="3">
      <t>チュウ</t>
    </rPh>
    <phoneticPr fontId="15"/>
  </si>
  <si>
    <t>小</t>
    <rPh sb="0" eb="1">
      <t>ショウ</t>
    </rPh>
    <phoneticPr fontId="15"/>
  </si>
  <si>
    <t>2億以上～3.5億</t>
    <rPh sb="1" eb="2">
      <t>オク</t>
    </rPh>
    <rPh sb="2" eb="4">
      <t>イジョウ</t>
    </rPh>
    <rPh sb="8" eb="9">
      <t>オク</t>
    </rPh>
    <phoneticPr fontId="15"/>
  </si>
  <si>
    <t>5人超</t>
    <rPh sb="1" eb="2">
      <t>ニン</t>
    </rPh>
    <rPh sb="2" eb="3">
      <t>チョウ</t>
    </rPh>
    <phoneticPr fontId="15"/>
  </si>
  <si>
    <t>中の小</t>
    <rPh sb="0" eb="1">
      <t>チュウ</t>
    </rPh>
    <rPh sb="2" eb="3">
      <t>ショウ</t>
    </rPh>
    <phoneticPr fontId="15"/>
  </si>
  <si>
    <t>小会社</t>
    <rPh sb="0" eb="1">
      <t>ショウ</t>
    </rPh>
    <rPh sb="1" eb="3">
      <t>カイシャ</t>
    </rPh>
    <phoneticPr fontId="15"/>
  </si>
  <si>
    <t>2億未満</t>
    <rPh sb="1" eb="2">
      <t>オク</t>
    </rPh>
    <rPh sb="2" eb="4">
      <t>ミマン</t>
    </rPh>
    <phoneticPr fontId="15"/>
  </si>
  <si>
    <t>5人以下</t>
    <rPh sb="1" eb="4">
      <t>ニンイカ</t>
    </rPh>
    <phoneticPr fontId="15"/>
  </si>
  <si>
    <t>≪小売・サービス≫</t>
    <rPh sb="2" eb="4">
      <t>コウリ</t>
    </rPh>
    <phoneticPr fontId="8"/>
  </si>
  <si>
    <t>4000万円未満</t>
    <rPh sb="4" eb="6">
      <t>マンエン</t>
    </rPh>
    <rPh sb="6" eb="8">
      <t>ミマン</t>
    </rPh>
    <phoneticPr fontId="15"/>
  </si>
  <si>
    <t>4000万～2.5億</t>
    <rPh sb="4" eb="5">
      <t>マン</t>
    </rPh>
    <rPh sb="9" eb="10">
      <t>オク</t>
    </rPh>
    <phoneticPr fontId="15"/>
  </si>
  <si>
    <t>2.5億以上～5億</t>
    <rPh sb="3" eb="4">
      <t>オク</t>
    </rPh>
    <rPh sb="4" eb="6">
      <t>イジョウ</t>
    </rPh>
    <rPh sb="8" eb="9">
      <t>オク</t>
    </rPh>
    <phoneticPr fontId="15"/>
  </si>
  <si>
    <t>5億以上～15億</t>
    <rPh sb="1" eb="2">
      <t>オク</t>
    </rPh>
    <rPh sb="2" eb="4">
      <t>イジョウ</t>
    </rPh>
    <rPh sb="7" eb="8">
      <t>オク</t>
    </rPh>
    <phoneticPr fontId="15"/>
  </si>
  <si>
    <t>15億以上</t>
    <rPh sb="2" eb="5">
      <t>オクイジョウ</t>
    </rPh>
    <phoneticPr fontId="15"/>
  </si>
  <si>
    <t>5億以上～20億</t>
    <rPh sb="1" eb="2">
      <t>オク</t>
    </rPh>
    <rPh sb="2" eb="4">
      <t>イジョウ</t>
    </rPh>
    <rPh sb="7" eb="8">
      <t>オク</t>
    </rPh>
    <phoneticPr fontId="15"/>
  </si>
  <si>
    <t>2.5億以上～5億</t>
    <rPh sb="3" eb="4">
      <t>オク</t>
    </rPh>
    <rPh sb="8" eb="9">
      <t>オク</t>
    </rPh>
    <phoneticPr fontId="15"/>
  </si>
  <si>
    <t>6000万以上～2.5億</t>
    <rPh sb="4" eb="5">
      <t>マン</t>
    </rPh>
    <rPh sb="11" eb="12">
      <t>オク</t>
    </rPh>
    <phoneticPr fontId="15"/>
  </si>
  <si>
    <t>6000万未満</t>
    <rPh sb="4" eb="5">
      <t>マン</t>
    </rPh>
    <rPh sb="5" eb="7">
      <t>ミマン</t>
    </rPh>
    <phoneticPr fontId="15"/>
  </si>
  <si>
    <t>≪その他・製造≫</t>
    <rPh sb="4" eb="5">
      <t>タ</t>
    </rPh>
    <rPh sb="6" eb="8">
      <t>セイゾウ</t>
    </rPh>
    <phoneticPr fontId="8"/>
  </si>
  <si>
    <t>5000万円未満</t>
    <rPh sb="4" eb="6">
      <t>マンエン</t>
    </rPh>
    <rPh sb="6" eb="8">
      <t>ミマン</t>
    </rPh>
    <phoneticPr fontId="15"/>
  </si>
  <si>
    <t>5000万～2.5億</t>
    <rPh sb="4" eb="5">
      <t>マン</t>
    </rPh>
    <rPh sb="9" eb="10">
      <t>オク</t>
    </rPh>
    <phoneticPr fontId="15"/>
  </si>
  <si>
    <t>4億以上～15億</t>
    <rPh sb="1" eb="2">
      <t>オク</t>
    </rPh>
    <rPh sb="7" eb="8">
      <t>オク</t>
    </rPh>
    <phoneticPr fontId="15"/>
  </si>
  <si>
    <t>2億以上～4億</t>
    <rPh sb="1" eb="2">
      <t>オク</t>
    </rPh>
    <rPh sb="6" eb="7">
      <t>オク</t>
    </rPh>
    <phoneticPr fontId="15"/>
  </si>
  <si>
    <t>8000万以上～2億</t>
    <rPh sb="4" eb="5">
      <t>マン</t>
    </rPh>
    <rPh sb="9" eb="10">
      <t>オク</t>
    </rPh>
    <phoneticPr fontId="15"/>
  </si>
  <si>
    <t>8000万未満</t>
    <rPh sb="4" eb="5">
      <t>マン</t>
    </rPh>
    <rPh sb="5" eb="7">
      <t>ミマン</t>
    </rPh>
    <phoneticPr fontId="15"/>
  </si>
  <si>
    <t>中会社の大</t>
    <rPh sb="0" eb="3">
      <t>チュウカイシャ</t>
    </rPh>
    <rPh sb="4" eb="5">
      <t>ダイ</t>
    </rPh>
    <phoneticPr fontId="8"/>
  </si>
  <si>
    <t>中会社の中</t>
    <rPh sb="0" eb="3">
      <t>チュウカイシャ</t>
    </rPh>
    <rPh sb="4" eb="5">
      <t>チュウ</t>
    </rPh>
    <phoneticPr fontId="8"/>
  </si>
  <si>
    <t>中会社の小</t>
    <rPh sb="0" eb="3">
      <t>チュウカイシャ</t>
    </rPh>
    <rPh sb="4" eb="5">
      <t>ショウ</t>
    </rPh>
    <phoneticPr fontId="8"/>
  </si>
  <si>
    <t>小会社</t>
    <rPh sb="0" eb="3">
      <t>ショウカイシャ</t>
    </rPh>
    <phoneticPr fontId="8"/>
  </si>
  <si>
    <t>比準要素1</t>
    <rPh sb="0" eb="4">
      <t>ヒジュンヨウソ</t>
    </rPh>
    <phoneticPr fontId="8"/>
  </si>
  <si>
    <t>大会社</t>
    <rPh sb="0" eb="3">
      <t>daikaisha</t>
    </rPh>
    <phoneticPr fontId="8"/>
  </si>
  <si>
    <t>従業員</t>
    <rPh sb="0" eb="3">
      <t>ジュウギョウイン</t>
    </rPh>
    <phoneticPr fontId="3"/>
  </si>
  <si>
    <t>売上</t>
    <rPh sb="0" eb="2">
      <t>uriage</t>
    </rPh>
    <phoneticPr fontId="3"/>
  </si>
  <si>
    <t>総資産</t>
    <rPh sb="0" eb="3">
      <t>ソウシサン</t>
    </rPh>
    <phoneticPr fontId="3"/>
  </si>
  <si>
    <t>万円</t>
    <rPh sb="0" eb="2">
      <t>マンエン</t>
    </rPh>
    <phoneticPr fontId="3"/>
  </si>
  <si>
    <t>人</t>
    <rPh sb="0" eb="1">
      <t>ニン</t>
    </rPh>
    <phoneticPr fontId="3"/>
  </si>
  <si>
    <t>斟酌率</t>
    <rPh sb="0" eb="3">
      <t>シンシャクリツ</t>
    </rPh>
    <phoneticPr fontId="3"/>
  </si>
  <si>
    <t>L</t>
    <phoneticPr fontId="3"/>
  </si>
  <si>
    <t>TBL</t>
    <phoneticPr fontId="3"/>
  </si>
  <si>
    <t>採用</t>
    <rPh sb="0" eb="2">
      <t>サイヨウ</t>
    </rPh>
    <phoneticPr fontId="3"/>
  </si>
  <si>
    <t>従業員まもる</t>
    <rPh sb="0" eb="3">
      <t>ジュウギョウイン</t>
    </rPh>
    <phoneticPr fontId="3"/>
  </si>
  <si>
    <t>低い</t>
    <rPh sb="0" eb="1">
      <t>ヒク</t>
    </rPh>
    <phoneticPr fontId="3"/>
  </si>
  <si>
    <t>子無配偶者税</t>
    <rPh sb="0" eb="1">
      <t>コ</t>
    </rPh>
    <rPh sb="1" eb="2">
      <t>ナシ</t>
    </rPh>
    <rPh sb="2" eb="5">
      <t>ハイグウシャ</t>
    </rPh>
    <rPh sb="5" eb="6">
      <t>ゼイ</t>
    </rPh>
    <phoneticPr fontId="8"/>
  </si>
  <si>
    <t>Ver</t>
    <phoneticPr fontId="3"/>
  </si>
  <si>
    <t>日付</t>
    <rPh sb="0" eb="2">
      <t>ヒヅケ</t>
    </rPh>
    <phoneticPr fontId="3"/>
  </si>
  <si>
    <t>コメント</t>
    <phoneticPr fontId="3"/>
  </si>
  <si>
    <t>子のみ</t>
    <rPh sb="0" eb="1">
      <t>コ</t>
    </rPh>
    <phoneticPr fontId="8"/>
  </si>
  <si>
    <t>奥様生活資金</t>
    <rPh sb="0" eb="2">
      <t>オクサマ</t>
    </rPh>
    <rPh sb="2" eb="6">
      <t>セイカツシキン</t>
    </rPh>
    <phoneticPr fontId="3"/>
  </si>
  <si>
    <t>不明</t>
    <rPh sb="0" eb="2">
      <t>フメイ</t>
    </rPh>
    <phoneticPr fontId="3"/>
  </si>
  <si>
    <t>比準要素１の株価</t>
    <rPh sb="0" eb="4">
      <t>ヒジュンヨウソ</t>
    </rPh>
    <rPh sb="6" eb="8">
      <t>カブカ</t>
    </rPh>
    <phoneticPr fontId="3"/>
  </si>
  <si>
    <t>要素１＠</t>
    <rPh sb="0" eb="2">
      <t>ヨウソ</t>
    </rPh>
    <phoneticPr fontId="3"/>
  </si>
  <si>
    <t>要素１総額</t>
    <rPh sb="0" eb="2">
      <t>ヨウソ</t>
    </rPh>
    <rPh sb="3" eb="5">
      <t>ソウガク</t>
    </rPh>
    <phoneticPr fontId="3"/>
  </si>
  <si>
    <t>要素１L</t>
    <rPh sb="0" eb="2">
      <t>ヨウソ</t>
    </rPh>
    <phoneticPr fontId="3"/>
  </si>
  <si>
    <t>要素２以上</t>
    <rPh sb="0" eb="2">
      <t>ヨウソ</t>
    </rPh>
    <rPh sb="3" eb="5">
      <t>イジョウ</t>
    </rPh>
    <phoneticPr fontId="3"/>
  </si>
  <si>
    <t>株価：純資産</t>
    <rPh sb="0" eb="2">
      <t>カブk</t>
    </rPh>
    <rPh sb="3" eb="6">
      <t>ジュンシサン</t>
    </rPh>
    <phoneticPr fontId="3"/>
  </si>
  <si>
    <t>株価計算</t>
    <rPh sb="0" eb="2">
      <t>カブカ</t>
    </rPh>
    <rPh sb="2" eb="4">
      <t>ケイサン</t>
    </rPh>
    <phoneticPr fontId="3"/>
  </si>
  <si>
    <t>死亡リスク</t>
    <rPh sb="0" eb="2">
      <t>シボウ</t>
    </rPh>
    <phoneticPr fontId="3"/>
  </si>
  <si>
    <t>高い</t>
    <rPh sb="0" eb="1">
      <t>タカ</t>
    </rPh>
    <phoneticPr fontId="3"/>
  </si>
  <si>
    <t>生存退職金</t>
    <rPh sb="0" eb="2">
      <t>セイゾン</t>
    </rPh>
    <rPh sb="2" eb="5">
      <t>タイショクキン</t>
    </rPh>
    <phoneticPr fontId="3"/>
  </si>
  <si>
    <t>死亡退職金</t>
    <rPh sb="0" eb="5">
      <t>シボウタイショクキン</t>
    </rPh>
    <phoneticPr fontId="3"/>
  </si>
  <si>
    <t>株価移転</t>
    <rPh sb="0" eb="2">
      <t>カブカ</t>
    </rPh>
    <rPh sb="2" eb="4">
      <t>イテン</t>
    </rPh>
    <phoneticPr fontId="3"/>
  </si>
  <si>
    <t>後継者いないので第三者へ渡す問題</t>
    <rPh sb="0" eb="3">
      <t>コウケイシャ</t>
    </rPh>
    <rPh sb="8" eb="11">
      <t>ダイサンシャ</t>
    </rPh>
    <rPh sb="12" eb="13">
      <t>ワタ</t>
    </rPh>
    <rPh sb="14" eb="16">
      <t>モンダイ</t>
    </rPh>
    <phoneticPr fontId="3"/>
  </si>
  <si>
    <t>年</t>
    <rPh sb="0" eb="1">
      <t>ネン</t>
    </rPh>
    <phoneticPr fontId="3"/>
  </si>
  <si>
    <t>配偶者有</t>
    <rPh sb="0" eb="3">
      <t>ハイグウシャ</t>
    </rPh>
    <rPh sb="3" eb="4">
      <t>アリ</t>
    </rPh>
    <phoneticPr fontId="3"/>
  </si>
  <si>
    <t>配偶者無</t>
    <rPh sb="0" eb="3">
      <t>ハイグウシャ</t>
    </rPh>
    <rPh sb="3" eb="4">
      <t>ナシ</t>
    </rPh>
    <phoneticPr fontId="3"/>
  </si>
  <si>
    <t>後継者有</t>
    <rPh sb="0" eb="3">
      <t>コウケイシャ</t>
    </rPh>
    <rPh sb="3" eb="4">
      <t>アリ</t>
    </rPh>
    <phoneticPr fontId="3"/>
  </si>
  <si>
    <t>後継者無</t>
    <rPh sb="0" eb="3">
      <t>コウケイシャ</t>
    </rPh>
    <rPh sb="3" eb="4">
      <t>ナシ</t>
    </rPh>
    <phoneticPr fontId="3"/>
  </si>
  <si>
    <t>株式集中度</t>
    <rPh sb="0" eb="2">
      <t>カブシキ</t>
    </rPh>
    <rPh sb="2" eb="5">
      <t>シュウチュウド</t>
    </rPh>
    <phoneticPr fontId="3"/>
  </si>
  <si>
    <t>は選択入力</t>
    <rPh sb="1" eb="3">
      <t>seンンtaku</t>
    </rPh>
    <rPh sb="3" eb="5">
      <t>ニュウリョク</t>
    </rPh>
    <phoneticPr fontId="3"/>
  </si>
  <si>
    <t>一次相続：配偶者あり</t>
    <rPh sb="0" eb="2">
      <t>ichiji</t>
    </rPh>
    <rPh sb="2" eb="4">
      <t>ソウゾク</t>
    </rPh>
    <rPh sb="5" eb="8">
      <t>ハイグウシャ</t>
    </rPh>
    <phoneticPr fontId="8"/>
  </si>
  <si>
    <t>二次相続：配偶者あり</t>
    <rPh sb="0" eb="2">
      <t>ンiji</t>
    </rPh>
    <rPh sb="2" eb="4">
      <t>ソウゾク</t>
    </rPh>
    <rPh sb="5" eb="8">
      <t>ハイグウシャ</t>
    </rPh>
    <phoneticPr fontId="8"/>
  </si>
  <si>
    <t>子人</t>
    <rPh sb="0" eb="1">
      <t>コ</t>
    </rPh>
    <rPh sb="1" eb="2">
      <t>ニン</t>
    </rPh>
    <phoneticPr fontId="8"/>
  </si>
  <si>
    <t>一次相続：配偶者なし</t>
    <rPh sb="0" eb="2">
      <t>イチジ</t>
    </rPh>
    <rPh sb="2" eb="4">
      <t>ソウゾク</t>
    </rPh>
    <rPh sb="5" eb="8">
      <t>ハイグウシャ</t>
    </rPh>
    <phoneticPr fontId="8"/>
  </si>
  <si>
    <t>株価移転リスク</t>
    <rPh sb="0" eb="2">
      <t>カブカ</t>
    </rPh>
    <rPh sb="2" eb="4">
      <t>イテン</t>
    </rPh>
    <phoneticPr fontId="3"/>
  </si>
  <si>
    <t>株式分散リスク</t>
    <rPh sb="0" eb="2">
      <t>カブシキ</t>
    </rPh>
    <rPh sb="2" eb="4">
      <t>ブンサン</t>
    </rPh>
    <phoneticPr fontId="3"/>
  </si>
  <si>
    <t>現経営者の株式集中度低い場合</t>
    <rPh sb="0" eb="1">
      <t>geンン</t>
    </rPh>
    <rPh sb="1" eb="4">
      <t>ケイエイシャ</t>
    </rPh>
    <rPh sb="5" eb="7">
      <t>カブシキ</t>
    </rPh>
    <rPh sb="7" eb="10">
      <t>シュウチュウド</t>
    </rPh>
    <rPh sb="10" eb="11">
      <t>ヒク</t>
    </rPh>
    <rPh sb="12" eb="14">
      <t>バアイ</t>
    </rPh>
    <phoneticPr fontId="3"/>
  </si>
  <si>
    <t>後継者へ如何に集中させるか</t>
    <rPh sb="0" eb="3">
      <t>コウケイシャ</t>
    </rPh>
    <rPh sb="4" eb="6">
      <t>イカ</t>
    </rPh>
    <rPh sb="7" eb="9">
      <t>シュウチュウ</t>
    </rPh>
    <phoneticPr fontId="3"/>
  </si>
  <si>
    <t>自社株高額リスク</t>
    <rPh sb="0" eb="3">
      <t>ジシャカブ</t>
    </rPh>
    <rPh sb="3" eb="5">
      <t>コウガク</t>
    </rPh>
    <phoneticPr fontId="3"/>
  </si>
  <si>
    <t>要素１</t>
    <rPh sb="0" eb="2">
      <t>ヨウソ</t>
    </rPh>
    <phoneticPr fontId="3"/>
  </si>
  <si>
    <t>現経営者保有の株式が高い場合</t>
    <rPh sb="0" eb="4">
      <t>ゲンケイエイシャ</t>
    </rPh>
    <rPh sb="4" eb="6">
      <t>ホユウ</t>
    </rPh>
    <rPh sb="7" eb="9">
      <t>カブシキ</t>
    </rPh>
    <rPh sb="10" eb="11">
      <t>タカ</t>
    </rPh>
    <rPh sb="12" eb="14">
      <t>バアイ</t>
    </rPh>
    <phoneticPr fontId="3"/>
  </si>
  <si>
    <t>移転の税金が高い場合準備</t>
    <rPh sb="0" eb="2">
      <t>イテン</t>
    </rPh>
    <rPh sb="3" eb="5">
      <t>ゼイキン</t>
    </rPh>
    <rPh sb="6" eb="7">
      <t>タカ</t>
    </rPh>
    <rPh sb="8" eb="10">
      <t>バアイ</t>
    </rPh>
    <rPh sb="10" eb="12">
      <t>ジュンビ</t>
    </rPh>
    <phoneticPr fontId="3"/>
  </si>
  <si>
    <t>株式集中リスク</t>
    <rPh sb="0" eb="2">
      <t>カブシキ</t>
    </rPh>
    <rPh sb="2" eb="4">
      <t>シュウチュウ</t>
    </rPh>
    <phoneticPr fontId="3"/>
  </si>
  <si>
    <t>現経営者の株式集中度高い場合</t>
    <rPh sb="0" eb="1">
      <t>geンン</t>
    </rPh>
    <rPh sb="1" eb="4">
      <t>ケイエイシャ</t>
    </rPh>
    <rPh sb="5" eb="7">
      <t>カブシキ</t>
    </rPh>
    <rPh sb="7" eb="10">
      <t>シュウチュウド</t>
    </rPh>
    <rPh sb="10" eb="11">
      <t>タカ</t>
    </rPh>
    <rPh sb="12" eb="14">
      <t>バアイ</t>
    </rPh>
    <phoneticPr fontId="3"/>
  </si>
  <si>
    <t>納税資金を調達</t>
    <rPh sb="0" eb="4">
      <t>ノウゼイシキン</t>
    </rPh>
    <rPh sb="5" eb="7">
      <t>チョウタツ</t>
    </rPh>
    <phoneticPr fontId="3"/>
  </si>
  <si>
    <t>株式を後継者に渡すのに障害がある場合</t>
    <rPh sb="0" eb="2">
      <t>カブシキ</t>
    </rPh>
    <rPh sb="3" eb="6">
      <t>コウケイシャ</t>
    </rPh>
    <rPh sb="7" eb="8">
      <t>ワタ</t>
    </rPh>
    <rPh sb="11" eb="13">
      <t>ショウガイ</t>
    </rPh>
    <rPh sb="16" eb="18">
      <t>バアイ</t>
    </rPh>
    <phoneticPr fontId="3"/>
  </si>
  <si>
    <t>経営者の死亡によって企業の存続が危ぶまれる</t>
    <rPh sb="0" eb="3">
      <t>ケイエイシャ</t>
    </rPh>
    <rPh sb="4" eb="6">
      <t>シボウ</t>
    </rPh>
    <phoneticPr fontId="3"/>
  </si>
  <si>
    <t>後継者が若い・未経験・業務に必要な資格がない</t>
    <rPh sb="0" eb="3">
      <t>コウケイシャ</t>
    </rPh>
    <rPh sb="4" eb="5">
      <t>ワカ</t>
    </rPh>
    <rPh sb="7" eb="10">
      <t>ミケイケン</t>
    </rPh>
    <rPh sb="11" eb="13">
      <t>ギョウム</t>
    </rPh>
    <rPh sb="14" eb="16">
      <t>ヒツヨウ</t>
    </rPh>
    <rPh sb="17" eb="19">
      <t>シカク</t>
    </rPh>
    <phoneticPr fontId="3"/>
  </si>
  <si>
    <t>経営力喪失</t>
    <rPh sb="0" eb="3">
      <t>ケイエイリョク</t>
    </rPh>
    <rPh sb="3" eb="5">
      <t>ソウシツ</t>
    </rPh>
    <phoneticPr fontId="3"/>
  </si>
  <si>
    <t>現経営者の信用力で販売・製造・融資がある</t>
    <rPh sb="0" eb="4">
      <t>ゲンケイエイシャ</t>
    </rPh>
    <rPh sb="5" eb="8">
      <t>シンヨウリョク</t>
    </rPh>
    <rPh sb="9" eb="11">
      <t>ハンバイ</t>
    </rPh>
    <rPh sb="12" eb="14">
      <t>セイゾウ</t>
    </rPh>
    <rPh sb="15" eb="17">
      <t>ユウシ</t>
    </rPh>
    <phoneticPr fontId="3"/>
  </si>
  <si>
    <t>事業継続資金</t>
    <rPh sb="0" eb="2">
      <t>ジギョウ</t>
    </rPh>
    <rPh sb="2" eb="6">
      <t>ケイゾクシキン</t>
    </rPh>
    <phoneticPr fontId="3"/>
  </si>
  <si>
    <t>社長死亡後も後継者が努力して事業継続するための資金</t>
    <rPh sb="0" eb="5">
      <t>シャチョウシボウゴ</t>
    </rPh>
    <rPh sb="6" eb="9">
      <t>コウケイシャ</t>
    </rPh>
    <rPh sb="10" eb="12">
      <t>ドリョク</t>
    </rPh>
    <rPh sb="14" eb="18">
      <t>ジギョウケイゾク</t>
    </rPh>
    <rPh sb="23" eb="25">
      <t>シキン</t>
    </rPh>
    <phoneticPr fontId="3"/>
  </si>
  <si>
    <t>資産売却後、債務弁済に不足する資金需要</t>
    <rPh sb="0" eb="2">
      <t>シサン</t>
    </rPh>
    <rPh sb="2" eb="4">
      <t>バイキャク</t>
    </rPh>
    <rPh sb="4" eb="5">
      <t>ゴ</t>
    </rPh>
    <rPh sb="6" eb="10">
      <t>サイムベンサイ</t>
    </rPh>
    <rPh sb="11" eb="13">
      <t>フソク</t>
    </rPh>
    <rPh sb="15" eb="17">
      <t>シキン</t>
    </rPh>
    <rPh sb="17" eb="19">
      <t>ジュヨウ</t>
    </rPh>
    <phoneticPr fontId="3"/>
  </si>
  <si>
    <t>相続にかかる納税資金・分割資金</t>
    <rPh sb="0" eb="2">
      <t>ソウゾク</t>
    </rPh>
    <rPh sb="6" eb="10">
      <t>ノウゼイシキン</t>
    </rPh>
    <rPh sb="11" eb="15">
      <t>ブンカツシキン</t>
    </rPh>
    <phoneticPr fontId="3"/>
  </si>
  <si>
    <t>納税資金</t>
    <rPh sb="0" eb="4">
      <t>ノウゼイシキン</t>
    </rPh>
    <phoneticPr fontId="3"/>
  </si>
  <si>
    <t>現金分に比べて納税資金が過大なもの</t>
    <rPh sb="0" eb="2">
      <t>ゲンキン</t>
    </rPh>
    <rPh sb="2" eb="3">
      <t>ブン</t>
    </rPh>
    <rPh sb="4" eb="5">
      <t>クラ</t>
    </rPh>
    <rPh sb="7" eb="11">
      <t>ノウゼイシキン</t>
    </rPh>
    <rPh sb="12" eb="14">
      <t>カダイ</t>
    </rPh>
    <phoneticPr fontId="3"/>
  </si>
  <si>
    <t>分割資金</t>
    <rPh sb="0" eb="4">
      <t>ブンカツシキン</t>
    </rPh>
    <phoneticPr fontId="3"/>
  </si>
  <si>
    <t>後継者に過分な資金が行き相続が公平でない場合</t>
    <rPh sb="0" eb="3">
      <t>コウケイシャ</t>
    </rPh>
    <rPh sb="4" eb="6">
      <t>カブン</t>
    </rPh>
    <rPh sb="7" eb="9">
      <t>シキン</t>
    </rPh>
    <rPh sb="10" eb="12">
      <t>iki</t>
    </rPh>
    <rPh sb="12" eb="14">
      <t>ソウゾク</t>
    </rPh>
    <rPh sb="15" eb="17">
      <t>コウヘイ</t>
    </rPh>
    <rPh sb="20" eb="22">
      <t>バアイ</t>
    </rPh>
    <phoneticPr fontId="3"/>
  </si>
  <si>
    <t>配偶者の生活資金</t>
    <rPh sb="0" eb="3">
      <t>ハイグウシャ</t>
    </rPh>
    <rPh sb="4" eb="8">
      <t>セイカツシキン</t>
    </rPh>
    <phoneticPr fontId="3"/>
  </si>
  <si>
    <t>配偶者が当該会社に勤務してない場合特に</t>
    <rPh sb="0" eb="3">
      <t>ハイグウシャ</t>
    </rPh>
    <rPh sb="4" eb="6">
      <t>トウガイ</t>
    </rPh>
    <rPh sb="6" eb="8">
      <t>カイシャ</t>
    </rPh>
    <rPh sb="9" eb="11">
      <t>キンム</t>
    </rPh>
    <rPh sb="15" eb="17">
      <t>バアイ</t>
    </rPh>
    <rPh sb="17" eb="18">
      <t>トク</t>
    </rPh>
    <phoneticPr fontId="3"/>
  </si>
  <si>
    <t>配偶者の年齢や子供の年齢を考慮して</t>
    <rPh sb="0" eb="3">
      <t>ハイグウシャ</t>
    </rPh>
    <rPh sb="4" eb="6">
      <t>ネンレイ</t>
    </rPh>
    <rPh sb="7" eb="9">
      <t>コドモ</t>
    </rPh>
    <rPh sb="10" eb="12">
      <t>ネンレイ</t>
    </rPh>
    <rPh sb="13" eb="15">
      <t>コウリョ</t>
    </rPh>
    <phoneticPr fontId="3"/>
  </si>
  <si>
    <t>純資産の額まで</t>
    <rPh sb="0" eb="3">
      <t>ジュンシサン</t>
    </rPh>
    <rPh sb="4" eb="5">
      <t>ガク</t>
    </rPh>
    <phoneticPr fontId="3"/>
  </si>
  <si>
    <t>現預金が十分あるか</t>
    <rPh sb="0" eb="3">
      <t>ゲンヨキン</t>
    </rPh>
    <rPh sb="4" eb="6">
      <t>ジュウブン</t>
    </rPh>
    <phoneticPr fontId="3"/>
  </si>
  <si>
    <t>損金算入可能の範囲か</t>
    <rPh sb="0" eb="4">
      <t>ソンキンサンユウ</t>
    </rPh>
    <rPh sb="4" eb="6">
      <t>カノウ</t>
    </rPh>
    <rPh sb="7" eb="9">
      <t>ハンイ</t>
    </rPh>
    <phoneticPr fontId="3"/>
  </si>
  <si>
    <t>予想月額給与</t>
    <rPh sb="0" eb="2">
      <t>ヨソウ</t>
    </rPh>
    <rPh sb="2" eb="4">
      <t>ゲツガク</t>
    </rPh>
    <rPh sb="4" eb="6">
      <t>キュウヨ</t>
    </rPh>
    <phoneticPr fontId="3"/>
  </si>
  <si>
    <t>50円　株当</t>
    <rPh sb="2" eb="3">
      <t>エン</t>
    </rPh>
    <rPh sb="4" eb="5">
      <t>カブ</t>
    </rPh>
    <rPh sb="5" eb="6">
      <t>アタリ</t>
    </rPh>
    <phoneticPr fontId="3"/>
  </si>
  <si>
    <t>比準／基準</t>
    <rPh sb="0" eb="2">
      <t>ヒジュン</t>
    </rPh>
    <rPh sb="3" eb="5">
      <t>キジュン</t>
    </rPh>
    <phoneticPr fontId="3"/>
  </si>
  <si>
    <t>総額</t>
    <rPh sb="0" eb="2">
      <t>ソウガク</t>
    </rPh>
    <phoneticPr fontId="3"/>
  </si>
  <si>
    <t>比準：千円</t>
    <rPh sb="0" eb="1">
      <t>ヒジュン</t>
    </rPh>
    <rPh sb="1" eb="2">
      <t>ジュン</t>
    </rPh>
    <rPh sb="3" eb="5">
      <t>センエン</t>
    </rPh>
    <phoneticPr fontId="3"/>
  </si>
  <si>
    <t>比準：円</t>
    <rPh sb="0" eb="2">
      <t>ヒジュン</t>
    </rPh>
    <rPh sb="3" eb="4">
      <t>エン</t>
    </rPh>
    <phoneticPr fontId="3"/>
  </si>
  <si>
    <t>現経営者持分</t>
    <rPh sb="0" eb="4">
      <t>ゲンケイエイシャ</t>
    </rPh>
    <rPh sb="4" eb="6">
      <t>モチブン</t>
    </rPh>
    <phoneticPr fontId="3"/>
  </si>
  <si>
    <t>千円：1次配偶者あり</t>
    <rPh sb="0" eb="2">
      <t>センエン</t>
    </rPh>
    <rPh sb="4" eb="5">
      <t>ジ</t>
    </rPh>
    <rPh sb="5" eb="8">
      <t>ハイグウシャ</t>
    </rPh>
    <phoneticPr fontId="3"/>
  </si>
  <si>
    <t>千円：1次配偶者なし</t>
    <rPh sb="0" eb="2">
      <t>センエン</t>
    </rPh>
    <rPh sb="4" eb="5">
      <t>ジ</t>
    </rPh>
    <rPh sb="5" eb="8">
      <t>ハイグウシャ</t>
    </rPh>
    <phoneticPr fontId="3"/>
  </si>
  <si>
    <t>不明</t>
    <rPh sb="0" eb="2">
      <t>フメイ</t>
    </rPh>
    <phoneticPr fontId="3"/>
  </si>
  <si>
    <t>分割問題</t>
    <rPh sb="0" eb="2">
      <t>ブンカツ</t>
    </rPh>
    <rPh sb="2" eb="4">
      <t>モンダイ</t>
    </rPh>
    <phoneticPr fontId="3"/>
  </si>
  <si>
    <t>年　　当該会社勤務経験</t>
    <rPh sb="0" eb="1">
      <t>ネン</t>
    </rPh>
    <rPh sb="3" eb="7">
      <t>トウガイカイシャ</t>
    </rPh>
    <rPh sb="7" eb="11">
      <t>キンムケイケン</t>
    </rPh>
    <phoneticPr fontId="3"/>
  </si>
  <si>
    <t>様</t>
    <rPh sb="0" eb="1">
      <t>サマ</t>
    </rPh>
    <phoneticPr fontId="3"/>
  </si>
  <si>
    <t>純資産が大きい</t>
    <rPh sb="0" eb="3">
      <t>ジュンシサン</t>
    </rPh>
    <rPh sb="4" eb="5">
      <t>オオ</t>
    </rPh>
    <phoneticPr fontId="3"/>
  </si>
  <si>
    <t>ニーズ仮説の整理（資産税直接参照）</t>
    <rPh sb="3" eb="5">
      <t>カセツ</t>
    </rPh>
    <rPh sb="6" eb="8">
      <t>セイリ</t>
    </rPh>
    <rPh sb="9" eb="12">
      <t>シサンゼイ</t>
    </rPh>
    <rPh sb="12" eb="14">
      <t>チョクセツ</t>
    </rPh>
    <rPh sb="14" eb="16">
      <t>サンショウ</t>
    </rPh>
    <phoneticPr fontId="3"/>
  </si>
  <si>
    <t>ある</t>
    <phoneticPr fontId="3"/>
  </si>
  <si>
    <t>現預金保険が多い</t>
    <rPh sb="0" eb="3">
      <t>ゲンヨキン</t>
    </rPh>
    <rPh sb="3" eb="5">
      <t>ホケン</t>
    </rPh>
    <rPh sb="6" eb="7">
      <t>オオ</t>
    </rPh>
    <phoneticPr fontId="3"/>
  </si>
  <si>
    <t>千円　現預金</t>
    <rPh sb="0" eb="2">
      <t>センエン</t>
    </rPh>
    <rPh sb="3" eb="6">
      <t>ゲンヨキン</t>
    </rPh>
    <phoneticPr fontId="3"/>
  </si>
  <si>
    <t>基礎控除</t>
    <rPh sb="0" eb="4">
      <t>キソコウジョ</t>
    </rPh>
    <phoneticPr fontId="8"/>
  </si>
  <si>
    <t>法定相続人控除</t>
    <rPh sb="0" eb="4">
      <t>ホウテイソウゾクキン</t>
    </rPh>
    <rPh sb="4" eb="5">
      <t>ニン</t>
    </rPh>
    <rPh sb="5" eb="7">
      <t>コウジョ</t>
    </rPh>
    <phoneticPr fontId="8"/>
  </si>
  <si>
    <t>相続税額</t>
    <rPh sb="0" eb="2">
      <t>ソウゾk</t>
    </rPh>
    <rPh sb="2" eb="4">
      <t>ゼイガク</t>
    </rPh>
    <phoneticPr fontId="8"/>
  </si>
  <si>
    <t>不動産その他</t>
    <rPh sb="0" eb="3">
      <t>フド</t>
    </rPh>
    <rPh sb="5" eb="6">
      <t>t</t>
    </rPh>
    <phoneticPr fontId="8"/>
  </si>
  <si>
    <t>配偶者控除後</t>
    <rPh sb="0" eb="3">
      <t>ハイグウシャ</t>
    </rPh>
    <rPh sb="3" eb="5">
      <t>コウジョ</t>
    </rPh>
    <rPh sb="5" eb="6">
      <t>g</t>
    </rPh>
    <phoneticPr fontId="8"/>
  </si>
  <si>
    <t>一株配当</t>
    <rPh sb="0" eb="2">
      <t>ヒトカブ</t>
    </rPh>
    <rPh sb="2" eb="4">
      <t>ハイトウ</t>
    </rPh>
    <phoneticPr fontId="3"/>
  </si>
  <si>
    <t>1株単価＠50</t>
    <rPh sb="1" eb="2">
      <t>カb</t>
    </rPh>
    <rPh sb="2" eb="4">
      <t>タンカ</t>
    </rPh>
    <phoneticPr fontId="3"/>
  </si>
  <si>
    <t>社長経営手腕</t>
    <rPh sb="0" eb="2">
      <t>シャチョウ</t>
    </rPh>
    <rPh sb="2" eb="4">
      <t>ケイエイ</t>
    </rPh>
    <rPh sb="4" eb="6">
      <t>シュワン</t>
    </rPh>
    <phoneticPr fontId="3"/>
  </si>
  <si>
    <t>後継者</t>
    <rPh sb="0" eb="3">
      <t>コウケイシャ</t>
    </rPh>
    <phoneticPr fontId="3"/>
  </si>
  <si>
    <t>70歳時退職金</t>
  </si>
  <si>
    <t>株式移転難易度</t>
    <rPh sb="0" eb="2">
      <t>カブシk</t>
    </rPh>
    <rPh sb="2" eb="4">
      <t>イテン</t>
    </rPh>
    <rPh sb="4" eb="7">
      <t>ナンイド</t>
    </rPh>
    <phoneticPr fontId="3"/>
  </si>
  <si>
    <t>家族の生活資金</t>
    <rPh sb="0" eb="2">
      <t>カゾク</t>
    </rPh>
    <rPh sb="3" eb="7">
      <t>セイカツシキン</t>
    </rPh>
    <phoneticPr fontId="3"/>
  </si>
  <si>
    <t>事業保障（会社を守る）</t>
    <rPh sb="0" eb="4">
      <t>ジギョウホショウ</t>
    </rPh>
    <rPh sb="5" eb="7">
      <t>カイシャ</t>
    </rPh>
    <rPh sb="8" eb="9">
      <t>マモ</t>
    </rPh>
    <phoneticPr fontId="3"/>
  </si>
  <si>
    <t>ニーズ表示順変更</t>
    <rPh sb="3" eb="5">
      <t>ヒョウジ</t>
    </rPh>
    <rPh sb="5" eb="6">
      <t>ジュン</t>
    </rPh>
    <rPh sb="6" eb="8">
      <t>ヘンコウ</t>
    </rPh>
    <phoneticPr fontId="3"/>
  </si>
  <si>
    <t>事業清算資金</t>
    <rPh sb="0" eb="2">
      <t>ジギョウ</t>
    </rPh>
    <rPh sb="2" eb="4">
      <t>セイサン</t>
    </rPh>
    <rPh sb="4" eb="6">
      <t>セイサンシキン</t>
    </rPh>
    <phoneticPr fontId="3"/>
  </si>
  <si>
    <t>支払額の上限</t>
    <rPh sb="0" eb="2">
      <t>シハラ</t>
    </rPh>
    <rPh sb="2" eb="3">
      <t>ガク</t>
    </rPh>
    <rPh sb="4" eb="6">
      <t>ジョウゲン</t>
    </rPh>
    <phoneticPr fontId="3"/>
  </si>
  <si>
    <t>現実的な上限</t>
    <rPh sb="0" eb="3">
      <t>ゲンジツテキ</t>
    </rPh>
    <rPh sb="4" eb="6">
      <t>ジョウゲン</t>
    </rPh>
    <phoneticPr fontId="3"/>
  </si>
  <si>
    <t>税法上の上限</t>
    <rPh sb="0" eb="3">
      <t>ゼイホウジョウ</t>
    </rPh>
    <rPh sb="4" eb="6">
      <t>ジョウゲン</t>
    </rPh>
    <phoneticPr fontId="3"/>
  </si>
  <si>
    <t>経営者としての成果を手にする最後のチャンス</t>
    <rPh sb="0" eb="3">
      <t>ケイエイシャ</t>
    </rPh>
    <rPh sb="7" eb="9">
      <t>セイカ</t>
    </rPh>
    <rPh sb="10" eb="11">
      <t>テ</t>
    </rPh>
    <rPh sb="14" eb="16">
      <t>サイゴ</t>
    </rPh>
    <phoneticPr fontId="3"/>
  </si>
  <si>
    <t>自社株</t>
    <rPh sb="0" eb="3">
      <t>ジシャカブ</t>
    </rPh>
    <phoneticPr fontId="19"/>
  </si>
  <si>
    <t>【単位：円】</t>
    <rPh sb="1" eb="3">
      <t>タンイ</t>
    </rPh>
    <rPh sb="4" eb="5">
      <t>エン</t>
    </rPh>
    <phoneticPr fontId="19"/>
  </si>
  <si>
    <t>税率</t>
    <rPh sb="0" eb="2">
      <t>ゼイリツ</t>
    </rPh>
    <phoneticPr fontId="19"/>
  </si>
  <si>
    <t>従業員</t>
    <rPh sb="0" eb="3">
      <t>ジュウギョ</t>
    </rPh>
    <phoneticPr fontId="19"/>
  </si>
  <si>
    <t>年度</t>
    <rPh sb="0" eb="2">
      <t>ネンド</t>
    </rPh>
    <phoneticPr fontId="19"/>
  </si>
  <si>
    <t>当期</t>
    <rPh sb="0" eb="2">
      <t>トウキ</t>
    </rPh>
    <phoneticPr fontId="19"/>
  </si>
  <si>
    <t>総株数</t>
    <rPh sb="0" eb="3">
      <t>ソウカブスウ</t>
    </rPh>
    <phoneticPr fontId="19"/>
  </si>
  <si>
    <t>一株資本</t>
    <rPh sb="0" eb="2">
      <t>ヒトカブ</t>
    </rPh>
    <rPh sb="2" eb="4">
      <t>シホン</t>
    </rPh>
    <phoneticPr fontId="19"/>
  </si>
  <si>
    <t>税前利益</t>
    <rPh sb="0" eb="2">
      <t>ゼイマエ</t>
    </rPh>
    <rPh sb="2" eb="4">
      <t>リエキ</t>
    </rPh>
    <phoneticPr fontId="19"/>
  </si>
  <si>
    <t>TBL</t>
    <phoneticPr fontId="19"/>
  </si>
  <si>
    <t>一株単位</t>
    <rPh sb="0" eb="2">
      <t>ヒトカブ</t>
    </rPh>
    <rPh sb="2" eb="4">
      <t>タンイ</t>
    </rPh>
    <phoneticPr fontId="19"/>
  </si>
  <si>
    <t>配当</t>
    <rPh sb="0" eb="2">
      <t>ハイトウ</t>
    </rPh>
    <phoneticPr fontId="19"/>
  </si>
  <si>
    <t>50円の倍率</t>
    <rPh sb="2" eb="3">
      <t>エン</t>
    </rPh>
    <rPh sb="4" eb="6">
      <t>バイリツ</t>
    </rPh>
    <phoneticPr fontId="19"/>
  </si>
  <si>
    <t>純資産</t>
    <rPh sb="0" eb="3">
      <t>ジュンシサン</t>
    </rPh>
    <phoneticPr fontId="19"/>
  </si>
  <si>
    <t>比準</t>
    <rPh sb="0" eb="1">
      <t>ヒジュン</t>
    </rPh>
    <rPh sb="1" eb="2">
      <t>juンン</t>
    </rPh>
    <phoneticPr fontId="19"/>
  </si>
  <si>
    <t>利益</t>
    <rPh sb="0" eb="2">
      <t>リエキ</t>
    </rPh>
    <phoneticPr fontId="19"/>
  </si>
  <si>
    <t>基準</t>
    <rPh sb="0" eb="2">
      <t>キジュン</t>
    </rPh>
    <phoneticPr fontId="19"/>
  </si>
  <si>
    <t>類似業種株価</t>
    <rPh sb="0" eb="2">
      <t>ルイジ</t>
    </rPh>
    <rPh sb="2" eb="4">
      <t>ギョウシュ</t>
    </rPh>
    <rPh sb="4" eb="6">
      <t>カブカ</t>
    </rPh>
    <phoneticPr fontId="19"/>
  </si>
  <si>
    <t>類似比率</t>
    <rPh sb="0" eb="2">
      <t>ルイジ</t>
    </rPh>
    <rPh sb="2" eb="4">
      <t>ヒリツ</t>
    </rPh>
    <phoneticPr fontId="19"/>
  </si>
  <si>
    <t>中会社</t>
    <rPh sb="0" eb="3">
      <t>chuukaisha</t>
    </rPh>
    <phoneticPr fontId="19"/>
  </si>
  <si>
    <t>しん酌率</t>
    <rPh sb="2" eb="4">
      <t>シャクリツ</t>
    </rPh>
    <phoneticPr fontId="19"/>
  </si>
  <si>
    <t>額面倍率</t>
    <rPh sb="0" eb="2">
      <t>ガクメン</t>
    </rPh>
    <rPh sb="2" eb="4">
      <t>バイリツ</t>
    </rPh>
    <phoneticPr fontId="19"/>
  </si>
  <si>
    <t>L</t>
    <phoneticPr fontId="19"/>
  </si>
  <si>
    <t>純資産単価</t>
    <rPh sb="0" eb="3">
      <t>ジュンシサン</t>
    </rPh>
    <rPh sb="3" eb="5">
      <t>タンカ</t>
    </rPh>
    <phoneticPr fontId="19"/>
  </si>
  <si>
    <t>類似業種単価</t>
    <rPh sb="0" eb="4">
      <t>ルイジギョウシュ</t>
    </rPh>
    <rPh sb="4" eb="6">
      <t>タンカ</t>
    </rPh>
    <phoneticPr fontId="19"/>
  </si>
  <si>
    <t>併用単価</t>
    <rPh sb="0" eb="2">
      <t>ヘイヨウ</t>
    </rPh>
    <rPh sb="2" eb="4">
      <t>タンカ</t>
    </rPh>
    <phoneticPr fontId="19"/>
  </si>
  <si>
    <t>一株当株価</t>
    <rPh sb="0" eb="2">
      <t>ヒトカブ</t>
    </rPh>
    <rPh sb="2" eb="3">
      <t>アタリ</t>
    </rPh>
    <rPh sb="3" eb="5">
      <t>カブカ</t>
    </rPh>
    <phoneticPr fontId="19"/>
  </si>
  <si>
    <t>総株価</t>
    <rPh sb="0" eb="3">
      <t>ソウカブカ</t>
    </rPh>
    <phoneticPr fontId="19"/>
  </si>
  <si>
    <t>資本金</t>
    <rPh sb="0" eb="3">
      <t>シホンキン</t>
    </rPh>
    <phoneticPr fontId="3"/>
  </si>
  <si>
    <t>利益準備金</t>
    <rPh sb="0" eb="2">
      <t>リエキジョウヨキン</t>
    </rPh>
    <rPh sb="2" eb="5">
      <t>ジュンビキン</t>
    </rPh>
    <phoneticPr fontId="3"/>
  </si>
  <si>
    <t>任意積立金</t>
    <rPh sb="0" eb="5">
      <t>ニンイツミタテキン</t>
    </rPh>
    <phoneticPr fontId="3"/>
  </si>
  <si>
    <t>その他利益剰余金</t>
    <rPh sb="2" eb="3">
      <t>タ</t>
    </rPh>
    <rPh sb="3" eb="5">
      <t>リエキ</t>
    </rPh>
    <rPh sb="5" eb="8">
      <t>ジョウヨキン</t>
    </rPh>
    <phoneticPr fontId="3"/>
  </si>
  <si>
    <t>株主資本</t>
    <rPh sb="0" eb="2">
      <t>カブヌs</t>
    </rPh>
    <rPh sb="2" eb="4">
      <t>シホン</t>
    </rPh>
    <phoneticPr fontId="3"/>
  </si>
  <si>
    <t>機首</t>
    <rPh sb="0" eb="2">
      <t>kishu</t>
    </rPh>
    <phoneticPr fontId="3"/>
  </si>
  <si>
    <t>当期純損益</t>
    <rPh sb="0" eb="2">
      <t>トウキ</t>
    </rPh>
    <rPh sb="2" eb="5">
      <t>ジュンソンエキ</t>
    </rPh>
    <phoneticPr fontId="3"/>
  </si>
  <si>
    <t>期末</t>
    <rPh sb="0" eb="2">
      <t>キマツ</t>
    </rPh>
    <phoneticPr fontId="3"/>
  </si>
  <si>
    <t>H29</t>
    <phoneticPr fontId="3"/>
  </si>
  <si>
    <t>H30</t>
    <phoneticPr fontId="3"/>
  </si>
  <si>
    <t>平均当期利益</t>
    <rPh sb="0" eb="2">
      <t>ヘイキン</t>
    </rPh>
    <rPh sb="2" eb="4">
      <t>touki</t>
    </rPh>
    <rPh sb="4" eb="6">
      <t>リエキ</t>
    </rPh>
    <phoneticPr fontId="3"/>
  </si>
  <si>
    <t>平均税引前利益</t>
    <rPh sb="0" eb="2">
      <t>ヘイキン</t>
    </rPh>
    <rPh sb="2" eb="4">
      <t>ゼイビ</t>
    </rPh>
    <rPh sb="4" eb="5">
      <t>マエ</t>
    </rPh>
    <rPh sb="5" eb="7">
      <t>リエキ</t>
    </rPh>
    <phoneticPr fontId="3"/>
  </si>
  <si>
    <t>生年月日</t>
    <rPh sb="0" eb="4">
      <t>セイネンガッピ</t>
    </rPh>
    <phoneticPr fontId="3"/>
  </si>
  <si>
    <t>年齢基準日</t>
    <rPh sb="0" eb="5">
      <t>ネンレイキジュンビ</t>
    </rPh>
    <phoneticPr fontId="3"/>
  </si>
  <si>
    <t>年齢</t>
    <rPh sb="0" eb="2">
      <t>ネンレイ</t>
    </rPh>
    <phoneticPr fontId="3"/>
  </si>
  <si>
    <t>配偶者様固有財産</t>
    <rPh sb="0" eb="3">
      <t>ハイグウシャ</t>
    </rPh>
    <rPh sb="3" eb="4">
      <t>オクサm</t>
    </rPh>
    <rPh sb="4" eb="8">
      <t>コユ</t>
    </rPh>
    <phoneticPr fontId="8"/>
  </si>
  <si>
    <t>基準：円</t>
    <rPh sb="0" eb="2">
      <t>キジュン</t>
    </rPh>
    <rPh sb="3" eb="4">
      <t>エン</t>
    </rPh>
    <phoneticPr fontId="3"/>
  </si>
  <si>
    <t>1株単価＠50　円</t>
    <rPh sb="1" eb="2">
      <t>カb</t>
    </rPh>
    <rPh sb="2" eb="4">
      <t>タンカ</t>
    </rPh>
    <rPh sb="8" eb="9">
      <t>エン</t>
    </rPh>
    <phoneticPr fontId="3"/>
  </si>
  <si>
    <t>資産売上比率</t>
    <rPh sb="0" eb="2">
      <t>シサン</t>
    </rPh>
    <rPh sb="2" eb="4">
      <t>uriage</t>
    </rPh>
    <rPh sb="4" eb="6">
      <t>ヒリツ</t>
    </rPh>
    <phoneticPr fontId="3"/>
  </si>
  <si>
    <t>当期利益率</t>
    <rPh sb="0" eb="2">
      <t>トウキ</t>
    </rPh>
    <rPh sb="2" eb="5">
      <t>リエキリツ</t>
    </rPh>
    <phoneticPr fontId="3"/>
  </si>
  <si>
    <t>自己資本比率</t>
    <rPh sb="0" eb="4">
      <t>ジコシホン</t>
    </rPh>
    <rPh sb="4" eb="6">
      <t>ヒリツ</t>
    </rPh>
    <phoneticPr fontId="3"/>
  </si>
  <si>
    <t>売上</t>
    <rPh sb="0" eb="2">
      <t>ウリアゲ</t>
    </rPh>
    <phoneticPr fontId="3"/>
  </si>
  <si>
    <t>純資産</t>
    <rPh sb="0" eb="3">
      <t>ジュンシサン</t>
    </rPh>
    <phoneticPr fontId="3"/>
  </si>
  <si>
    <t>当期利益</t>
    <rPh sb="0" eb="4">
      <t>トウキリエキ</t>
    </rPh>
    <phoneticPr fontId="3"/>
  </si>
  <si>
    <t>総資産</t>
    <rPh sb="0" eb="3">
      <t>ソウシサン</t>
    </rPh>
    <phoneticPr fontId="3"/>
  </si>
  <si>
    <t>資本金</t>
    <rPh sb="0" eb="3">
      <t>シホンキン</t>
    </rPh>
    <phoneticPr fontId="3"/>
  </si>
  <si>
    <t>資本剰余金</t>
    <rPh sb="0" eb="2">
      <t>シホン</t>
    </rPh>
    <rPh sb="2" eb="5">
      <t>ジョウヨキン</t>
    </rPh>
    <phoneticPr fontId="3"/>
  </si>
  <si>
    <t>自社株</t>
    <rPh sb="0" eb="3">
      <t>ジシャカブ</t>
    </rPh>
    <phoneticPr fontId="3"/>
  </si>
  <si>
    <t>資本金等</t>
    <rPh sb="0" eb="4">
      <t>シホンキントウ</t>
    </rPh>
    <phoneticPr fontId="3"/>
  </si>
  <si>
    <t>資本金等</t>
    <rPh sb="0" eb="3">
      <t>シh</t>
    </rPh>
    <rPh sb="3" eb="4">
      <t>トウ</t>
    </rPh>
    <phoneticPr fontId="3"/>
  </si>
  <si>
    <t>株価</t>
    <rPh sb="0" eb="2">
      <t>カブカ</t>
    </rPh>
    <phoneticPr fontId="3"/>
  </si>
  <si>
    <t>前年平均</t>
    <rPh sb="0" eb="2">
      <t>ゼンネン</t>
    </rPh>
    <rPh sb="2" eb="4">
      <t>ヘイキン</t>
    </rPh>
    <phoneticPr fontId="3"/>
  </si>
  <si>
    <t>過去２年</t>
    <rPh sb="0" eb="4">
      <t>カコニネン</t>
    </rPh>
    <phoneticPr fontId="3"/>
  </si>
  <si>
    <t>配当</t>
    <rPh sb="0" eb="2">
      <t>ハイトウ</t>
    </rPh>
    <phoneticPr fontId="3"/>
  </si>
  <si>
    <t>持分比率</t>
    <rPh sb="0" eb="4">
      <t>モチブンヒリツ</t>
    </rPh>
    <phoneticPr fontId="3"/>
  </si>
  <si>
    <t>株主変動・10年推移を合算/持分比率</t>
    <rPh sb="0" eb="2">
      <t>カブヌシ</t>
    </rPh>
    <rPh sb="2" eb="4">
      <t>ヘンドウ</t>
    </rPh>
    <rPh sb="7" eb="10">
      <t>ネンスイイ</t>
    </rPh>
    <rPh sb="11" eb="13">
      <t>ガッサン</t>
    </rPh>
    <rPh sb="14" eb="18">
      <t>モチブンヒリツ</t>
    </rPh>
    <phoneticPr fontId="3"/>
  </si>
  <si>
    <t>H31</t>
    <phoneticPr fontId="3"/>
  </si>
  <si>
    <t>その他総合工事業</t>
    <rPh sb="2" eb="3">
      <t>タ</t>
    </rPh>
    <rPh sb="3" eb="8">
      <t>ソウゴウコウジギョウ</t>
    </rPh>
    <phoneticPr fontId="3"/>
  </si>
  <si>
    <t>決算月表示自動化</t>
    <rPh sb="0" eb="5">
      <t>ケッサンツキヒョウジ</t>
    </rPh>
    <rPh sb="5" eb="8">
      <t>ジドウカ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</si>
</sst>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[Red]\-#,##0&quot;千&quot;&quot;円&quot;"/>
    <numFmt numFmtId="177" formatCode="yyyy/mm/dd"/>
    <numFmt numFmtId="178" formatCode="0.0"/>
    <numFmt numFmtId="179" formatCode="#,##0.00000;[Red]\-#,##0.00000"/>
    <numFmt numFmtId="180" formatCode="#,##0&quot; 月&quot;;[Red]\-#,##0&quot; &quot;&quot;月&quot;"/>
  </numFmts>
  <fonts count="25" x14ac:knownFonts="1">
    <font>
      <sz val="10"/>
      <color indexed="8"/>
      <name val="ヒラギノ角ゴ ProN W3"/>
    </font>
    <font>
      <sz val="12"/>
      <color theme="1"/>
      <name val="ヒラギノ角ゴ ProN W3"/>
      <family val="2"/>
      <charset val="128"/>
      <scheme val="minor"/>
    </font>
    <font>
      <sz val="10"/>
      <color indexed="8"/>
      <name val="ヒラギノ角ゴ ProN W3"/>
      <family val="3"/>
      <charset val="128"/>
    </font>
    <font>
      <sz val="6"/>
      <name val="ヒラギノ角ゴ ProN W3"/>
      <family val="3"/>
      <charset val="128"/>
    </font>
    <font>
      <u/>
      <sz val="10"/>
      <color theme="10"/>
      <name val="ヒラギノ角ゴ ProN W3"/>
      <family val="3"/>
      <charset val="128"/>
    </font>
    <font>
      <u/>
      <sz val="10"/>
      <color theme="11"/>
      <name val="ヒラギノ角ゴ ProN W3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rgb="FFFA7D00"/>
      <name val="ヒラギノ角ゴ ProN W3"/>
      <family val="2"/>
      <charset val="128"/>
      <scheme val="minor"/>
    </font>
    <font>
      <sz val="14"/>
      <name val="Terminal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7"/>
      <name val="Terminal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ヒラギノ角ゴ ProN W3"/>
      <charset val="128"/>
    </font>
    <font>
      <sz val="11"/>
      <color rgb="FF000000"/>
      <name val="ＭＳ Ｐゴシック"/>
      <family val="3"/>
      <charset val="128"/>
    </font>
    <font>
      <sz val="6"/>
      <name val="ヒラギノ角ゴ ProN W3"/>
      <family val="2"/>
      <charset val="128"/>
      <scheme val="minor"/>
    </font>
    <font>
      <sz val="10"/>
      <color theme="1"/>
      <name val="ヒラギノ角ゴ ProN W3"/>
      <charset val="128"/>
      <scheme val="minor"/>
    </font>
    <font>
      <sz val="10"/>
      <name val="ヒラギノ角ゴ ProN W3"/>
      <charset val="128"/>
    </font>
    <font>
      <sz val="8"/>
      <color indexed="8"/>
      <name val="ヒラギノ角ゴ ProN W3"/>
      <family val="3"/>
      <charset val="128"/>
    </font>
    <font>
      <sz val="11"/>
      <color indexed="8"/>
      <name val="ヒラギノ角ゴ ProN W3"/>
      <family val="3"/>
      <charset val="128"/>
    </font>
    <font>
      <sz val="11"/>
      <color rgb="FFFF0000"/>
      <name val="ヒラギノ角ゴ ProN W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rgb="FFFF0000"/>
      </bottom>
      <diagonal/>
    </border>
  </borders>
  <cellStyleXfs count="269">
    <xf numFmtId="0" fontId="0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10" fillId="0" borderId="0"/>
    <xf numFmtId="38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/>
    <xf numFmtId="38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37" fontId="12" fillId="0" borderId="0"/>
    <xf numFmtId="0" fontId="16" fillId="0" borderId="0">
      <alignment vertical="center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1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</cellStyleXfs>
  <cellXfs count="42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38" fontId="12" fillId="6" borderId="2" xfId="2" applyFont="1" applyFill="1" applyBorder="1"/>
    <xf numFmtId="9" fontId="12" fillId="6" borderId="3" xfId="1" applyFont="1" applyFill="1" applyBorder="1" applyAlignment="1"/>
    <xf numFmtId="38" fontId="12" fillId="6" borderId="4" xfId="2" applyFont="1" applyFill="1" applyBorder="1"/>
    <xf numFmtId="38" fontId="12" fillId="6" borderId="5" xfId="2" applyFont="1" applyFill="1" applyBorder="1"/>
    <xf numFmtId="9" fontId="12" fillId="6" borderId="0" xfId="1" applyFont="1" applyFill="1" applyBorder="1" applyAlignment="1"/>
    <xf numFmtId="38" fontId="12" fillId="6" borderId="6" xfId="2" applyFont="1" applyFill="1" applyBorder="1"/>
    <xf numFmtId="38" fontId="12" fillId="5" borderId="5" xfId="2" applyFont="1" applyFill="1" applyBorder="1"/>
    <xf numFmtId="9" fontId="12" fillId="5" borderId="0" xfId="1" applyFont="1" applyFill="1" applyBorder="1" applyAlignment="1"/>
    <xf numFmtId="38" fontId="12" fillId="5" borderId="6" xfId="2" applyFont="1" applyFill="1" applyBorder="1"/>
    <xf numFmtId="38" fontId="12" fillId="5" borderId="7" xfId="2" applyFont="1" applyFill="1" applyBorder="1"/>
    <xf numFmtId="9" fontId="12" fillId="5" borderId="8" xfId="1" applyFont="1" applyFill="1" applyBorder="1" applyAlignment="1"/>
    <xf numFmtId="38" fontId="12" fillId="5" borderId="9" xfId="2" applyFont="1" applyFill="1" applyBorder="1"/>
    <xf numFmtId="38" fontId="12" fillId="5" borderId="5" xfId="14" applyFont="1" applyFill="1" applyBorder="1" applyProtection="1"/>
    <xf numFmtId="40" fontId="12" fillId="5" borderId="6" xfId="14" applyNumberFormat="1" applyFont="1" applyFill="1" applyBorder="1" applyProtection="1"/>
    <xf numFmtId="38" fontId="12" fillId="5" borderId="7" xfId="14" applyFont="1" applyFill="1" applyBorder="1" applyProtection="1"/>
    <xf numFmtId="40" fontId="12" fillId="5" borderId="9" xfId="14" applyNumberFormat="1" applyFont="1" applyFill="1" applyBorder="1" applyProtection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49" fontId="0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37" fontId="12" fillId="0" borderId="0" xfId="21" applyFont="1" applyAlignment="1">
      <alignment horizontal="right"/>
    </xf>
    <xf numFmtId="37" fontId="12" fillId="0" borderId="0" xfId="21" applyFont="1"/>
    <xf numFmtId="37" fontId="12" fillId="0" borderId="0" xfId="21" quotePrefix="1" applyFont="1" applyAlignment="1">
      <alignment horizontal="left"/>
    </xf>
    <xf numFmtId="0" fontId="16" fillId="0" borderId="0" xfId="22" applyAlignment="1">
      <alignment vertical="center"/>
    </xf>
    <xf numFmtId="37" fontId="12" fillId="8" borderId="15" xfId="21" applyFont="1" applyFill="1" applyBorder="1"/>
    <xf numFmtId="37" fontId="12" fillId="0" borderId="13" xfId="21" applyFont="1" applyBorder="1"/>
    <xf numFmtId="37" fontId="12" fillId="0" borderId="16" xfId="21" quotePrefix="1" applyFont="1" applyBorder="1" applyAlignment="1">
      <alignment horizontal="left"/>
    </xf>
    <xf numFmtId="37" fontId="12" fillId="0" borderId="17" xfId="21" quotePrefix="1" applyFont="1" applyBorder="1" applyAlignment="1">
      <alignment horizontal="left"/>
    </xf>
    <xf numFmtId="37" fontId="12" fillId="0" borderId="18" xfId="21" quotePrefix="1" applyFont="1" applyBorder="1" applyAlignment="1">
      <alignment horizontal="left"/>
    </xf>
    <xf numFmtId="37" fontId="12" fillId="0" borderId="20" xfId="21" applyFont="1" applyBorder="1"/>
    <xf numFmtId="37" fontId="12" fillId="0" borderId="21" xfId="21" applyFont="1" applyBorder="1"/>
    <xf numFmtId="37" fontId="12" fillId="8" borderId="22" xfId="21" quotePrefix="1" applyFont="1" applyFill="1" applyBorder="1" applyAlignment="1">
      <alignment horizontal="left"/>
    </xf>
    <xf numFmtId="37" fontId="12" fillId="0" borderId="23" xfId="21" applyFont="1" applyBorder="1"/>
    <xf numFmtId="37" fontId="12" fillId="0" borderId="5" xfId="21" applyFont="1" applyBorder="1"/>
    <xf numFmtId="37" fontId="12" fillId="0" borderId="1" xfId="21" applyFont="1" applyBorder="1"/>
    <xf numFmtId="37" fontId="12" fillId="0" borderId="24" xfId="21" applyFont="1" applyBorder="1"/>
    <xf numFmtId="37" fontId="12" fillId="0" borderId="25" xfId="21" applyFont="1" applyBorder="1"/>
    <xf numFmtId="37" fontId="12" fillId="0" borderId="26" xfId="21" applyFont="1" applyBorder="1"/>
    <xf numFmtId="37" fontId="12" fillId="0" borderId="27" xfId="21" applyFont="1" applyBorder="1"/>
    <xf numFmtId="37" fontId="12" fillId="8" borderId="28" xfId="21" quotePrefix="1" applyFont="1" applyFill="1" applyBorder="1" applyAlignment="1">
      <alignment horizontal="left"/>
    </xf>
    <xf numFmtId="37" fontId="12" fillId="0" borderId="29" xfId="21" quotePrefix="1" applyFont="1" applyBorder="1" applyAlignment="1">
      <alignment horizontal="left"/>
    </xf>
    <xf numFmtId="37" fontId="12" fillId="0" borderId="7" xfId="21" applyFont="1" applyBorder="1"/>
    <xf numFmtId="37" fontId="12" fillId="0" borderId="9" xfId="21" applyFont="1" applyBorder="1"/>
    <xf numFmtId="37" fontId="12" fillId="0" borderId="26" xfId="21" applyFont="1" applyFill="1" applyBorder="1"/>
    <xf numFmtId="37" fontId="12" fillId="0" borderId="27" xfId="21" applyFont="1" applyFill="1" applyBorder="1"/>
    <xf numFmtId="37" fontId="12" fillId="0" borderId="29" xfId="21" applyFont="1" applyBorder="1"/>
    <xf numFmtId="37" fontId="12" fillId="0" borderId="8" xfId="21" applyFont="1" applyBorder="1"/>
    <xf numFmtId="37" fontId="12" fillId="0" borderId="24" xfId="21" applyFont="1" applyFill="1" applyBorder="1"/>
    <xf numFmtId="37" fontId="12" fillId="0" borderId="25" xfId="21" applyFont="1" applyFill="1" applyBorder="1"/>
    <xf numFmtId="37" fontId="12" fillId="0" borderId="30" xfId="21" applyFont="1" applyBorder="1"/>
    <xf numFmtId="37" fontId="12" fillId="0" borderId="31" xfId="21" applyFont="1" applyBorder="1"/>
    <xf numFmtId="37" fontId="12" fillId="8" borderId="32" xfId="21" quotePrefix="1" applyFont="1" applyFill="1" applyBorder="1" applyAlignment="1">
      <alignment horizontal="left"/>
    </xf>
    <xf numFmtId="37" fontId="12" fillId="0" borderId="30" xfId="21" quotePrefix="1" applyFont="1" applyBorder="1" applyAlignment="1">
      <alignment horizontal="left"/>
    </xf>
    <xf numFmtId="37" fontId="12" fillId="0" borderId="33" xfId="21" applyFont="1" applyBorder="1"/>
    <xf numFmtId="37" fontId="12" fillId="0" borderId="34" xfId="21" applyFont="1" applyBorder="1"/>
    <xf numFmtId="37" fontId="12" fillId="0" borderId="35" xfId="21" applyFont="1" applyBorder="1"/>
    <xf numFmtId="0" fontId="16" fillId="0" borderId="0" xfId="22" quotePrefix="1" applyAlignment="1">
      <alignment vertical="center"/>
    </xf>
    <xf numFmtId="37" fontId="12" fillId="0" borderId="18" xfId="21" applyFont="1" applyBorder="1"/>
    <xf numFmtId="37" fontId="12" fillId="8" borderId="22" xfId="21" applyFont="1" applyFill="1" applyBorder="1"/>
    <xf numFmtId="37" fontId="12" fillId="0" borderId="16" xfId="21" applyFont="1" applyBorder="1"/>
    <xf numFmtId="37" fontId="12" fillId="0" borderId="20" xfId="21" applyFont="1" applyFill="1" applyBorder="1"/>
    <xf numFmtId="37" fontId="12" fillId="0" borderId="21" xfId="21" applyFont="1" applyFill="1" applyBorder="1"/>
    <xf numFmtId="37" fontId="12" fillId="0" borderId="1" xfId="21" applyFont="1" applyFill="1" applyBorder="1"/>
    <xf numFmtId="37" fontId="12" fillId="8" borderId="32" xfId="21" applyFont="1" applyFill="1" applyBorder="1"/>
    <xf numFmtId="37" fontId="12" fillId="0" borderId="36" xfId="21" applyFont="1" applyBorder="1"/>
    <xf numFmtId="37" fontId="12" fillId="0" borderId="11" xfId="21" applyFont="1" applyBorder="1"/>
    <xf numFmtId="37" fontId="12" fillId="3" borderId="10" xfId="21" applyFont="1" applyFill="1" applyBorder="1"/>
    <xf numFmtId="40" fontId="0" fillId="3" borderId="2" xfId="2" applyNumberFormat="1" applyFont="1" applyFill="1" applyBorder="1" applyAlignment="1">
      <alignment vertical="top" wrapText="1"/>
    </xf>
    <xf numFmtId="40" fontId="0" fillId="3" borderId="4" xfId="2" applyNumberFormat="1" applyFont="1" applyFill="1" applyBorder="1" applyAlignment="1">
      <alignment vertical="top" wrapText="1"/>
    </xf>
    <xf numFmtId="37" fontId="12" fillId="3" borderId="36" xfId="21" applyFont="1" applyFill="1" applyBorder="1"/>
    <xf numFmtId="40" fontId="0" fillId="3" borderId="5" xfId="2" applyNumberFormat="1" applyFont="1" applyFill="1" applyBorder="1" applyAlignment="1">
      <alignment vertical="top" wrapText="1"/>
    </xf>
    <xf numFmtId="40" fontId="0" fillId="3" borderId="6" xfId="2" applyNumberFormat="1" applyFont="1" applyFill="1" applyBorder="1" applyAlignment="1">
      <alignment vertical="top" wrapText="1"/>
    </xf>
    <xf numFmtId="40" fontId="0" fillId="3" borderId="7" xfId="2" applyNumberFormat="1" applyFont="1" applyFill="1" applyBorder="1" applyAlignment="1">
      <alignment vertical="top" wrapText="1"/>
    </xf>
    <xf numFmtId="40" fontId="0" fillId="3" borderId="9" xfId="2" applyNumberFormat="1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40" fontId="0" fillId="0" borderId="2" xfId="2" applyNumberFormat="1" applyFont="1" applyBorder="1" applyAlignment="1">
      <alignment vertical="top" wrapText="1"/>
    </xf>
    <xf numFmtId="40" fontId="0" fillId="0" borderId="5" xfId="2" applyNumberFormat="1" applyFont="1" applyBorder="1" applyAlignment="1">
      <alignment vertical="top" wrapText="1"/>
    </xf>
    <xf numFmtId="40" fontId="0" fillId="0" borderId="7" xfId="2" applyNumberFormat="1" applyFont="1" applyBorder="1" applyAlignment="1">
      <alignment vertical="top" wrapText="1"/>
    </xf>
    <xf numFmtId="40" fontId="0" fillId="0" borderId="0" xfId="2" applyNumberFormat="1" applyFont="1" applyAlignment="1">
      <alignment vertical="top" wrapText="1"/>
    </xf>
    <xf numFmtId="40" fontId="0" fillId="0" borderId="1" xfId="2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77" fontId="0" fillId="0" borderId="0" xfId="2" applyNumberFormat="1" applyFont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0" fillId="0" borderId="24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37" xfId="0" applyFont="1" applyBorder="1" applyAlignment="1">
      <alignment vertical="top" wrapText="1"/>
    </xf>
    <xf numFmtId="0" fontId="0" fillId="0" borderId="38" xfId="0" applyFont="1" applyBorder="1" applyAlignment="1">
      <alignment vertical="top" wrapText="1"/>
    </xf>
    <xf numFmtId="0" fontId="0" fillId="0" borderId="39" xfId="0" applyFont="1" applyBorder="1" applyAlignment="1">
      <alignment vertical="top" wrapText="1"/>
    </xf>
    <xf numFmtId="0" fontId="0" fillId="0" borderId="40" xfId="0" applyFont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0" fontId="0" fillId="0" borderId="34" xfId="0" applyFont="1" applyBorder="1" applyAlignment="1">
      <alignment vertical="top" wrapText="1"/>
    </xf>
    <xf numFmtId="0" fontId="0" fillId="0" borderId="35" xfId="0" applyFont="1" applyBorder="1" applyAlignment="1">
      <alignment vertical="top" wrapText="1"/>
    </xf>
    <xf numFmtId="0" fontId="0" fillId="2" borderId="0" xfId="0" applyFont="1" applyFill="1" applyAlignment="1">
      <alignment vertical="top"/>
    </xf>
    <xf numFmtId="0" fontId="0" fillId="0" borderId="0" xfId="0" applyNumberFormat="1" applyFont="1" applyFill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0" fillId="0" borderId="4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center" vertical="top" wrapText="1"/>
    </xf>
    <xf numFmtId="38" fontId="0" fillId="0" borderId="0" xfId="0" applyNumberFormat="1" applyFont="1" applyAlignment="1">
      <alignment vertical="top" wrapText="1"/>
    </xf>
    <xf numFmtId="38" fontId="0" fillId="3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38" fontId="0" fillId="0" borderId="0" xfId="2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38" fontId="0" fillId="0" borderId="0" xfId="0" applyNumberFormat="1" applyFont="1" applyFill="1" applyBorder="1" applyAlignment="1">
      <alignment vertical="top" wrapText="1"/>
    </xf>
    <xf numFmtId="9" fontId="0" fillId="0" borderId="0" xfId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top" wrapText="1"/>
    </xf>
    <xf numFmtId="38" fontId="0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38" fontId="0" fillId="3" borderId="8" xfId="2" applyFont="1" applyFill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6" fillId="0" borderId="41" xfId="0" applyFont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38" fontId="16" fillId="3" borderId="1" xfId="0" applyNumberFormat="1" applyFont="1" applyFill="1" applyBorder="1" applyAlignment="1">
      <alignment vertical="top" wrapText="1"/>
    </xf>
    <xf numFmtId="49" fontId="14" fillId="3" borderId="1" xfId="0" applyNumberFormat="1" applyFont="1" applyFill="1" applyBorder="1" applyAlignment="1">
      <alignment vertical="center" wrapText="1"/>
    </xf>
    <xf numFmtId="0" fontId="14" fillId="7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176" fontId="16" fillId="3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38" fontId="14" fillId="0" borderId="41" xfId="2" applyFont="1" applyBorder="1" applyAlignment="1">
      <alignment vertical="center" wrapText="1"/>
    </xf>
    <xf numFmtId="38" fontId="16" fillId="3" borderId="10" xfId="0" applyNumberFormat="1" applyFont="1" applyFill="1" applyBorder="1" applyAlignment="1">
      <alignment vertical="center" wrapText="1"/>
    </xf>
    <xf numFmtId="38" fontId="16" fillId="3" borderId="11" xfId="2" applyFont="1" applyFill="1" applyBorder="1" applyAlignment="1">
      <alignment vertical="center" wrapText="1"/>
    </xf>
    <xf numFmtId="38" fontId="16" fillId="3" borderId="1" xfId="0" applyNumberFormat="1" applyFont="1" applyFill="1" applyBorder="1" applyAlignment="1">
      <alignment vertical="center" wrapText="1"/>
    </xf>
    <xf numFmtId="0" fontId="14" fillId="0" borderId="41" xfId="0" applyFont="1" applyFill="1" applyBorder="1" applyAlignment="1">
      <alignment vertical="center" wrapText="1"/>
    </xf>
    <xf numFmtId="38" fontId="16" fillId="3" borderId="11" xfId="0" applyNumberFormat="1" applyFont="1" applyFill="1" applyBorder="1" applyAlignment="1">
      <alignment vertical="center" wrapText="1"/>
    </xf>
    <xf numFmtId="9" fontId="16" fillId="3" borderId="1" xfId="0" applyNumberFormat="1" applyFont="1" applyFill="1" applyBorder="1" applyAlignment="1">
      <alignment vertical="center" wrapText="1"/>
    </xf>
    <xf numFmtId="0" fontId="14" fillId="0" borderId="0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38" fontId="14" fillId="2" borderId="1" xfId="2" applyFont="1" applyFill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2" fontId="16" fillId="3" borderId="1" xfId="0" applyNumberFormat="1" applyFont="1" applyFill="1" applyBorder="1" applyAlignment="1">
      <alignment vertical="top" wrapText="1"/>
    </xf>
    <xf numFmtId="40" fontId="16" fillId="3" borderId="1" xfId="2" applyNumberFormat="1" applyFont="1" applyFill="1" applyBorder="1" applyAlignment="1">
      <alignment vertical="top" wrapText="1"/>
    </xf>
    <xf numFmtId="40" fontId="16" fillId="3" borderId="0" xfId="2" applyNumberFormat="1" applyFont="1" applyFill="1" applyBorder="1" applyAlignment="1">
      <alignment vertical="top" wrapText="1"/>
    </xf>
    <xf numFmtId="38" fontId="16" fillId="3" borderId="1" xfId="2" applyFont="1" applyFill="1" applyBorder="1" applyAlignment="1">
      <alignment vertical="top" wrapText="1"/>
    </xf>
    <xf numFmtId="2" fontId="16" fillId="3" borderId="10" xfId="0" applyNumberFormat="1" applyFont="1" applyFill="1" applyBorder="1" applyAlignment="1">
      <alignment vertical="top" wrapText="1"/>
    </xf>
    <xf numFmtId="40" fontId="16" fillId="2" borderId="1" xfId="0" applyNumberFormat="1" applyFont="1" applyFill="1" applyBorder="1" applyAlignment="1">
      <alignment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0" fontId="16" fillId="3" borderId="7" xfId="2" applyNumberFormat="1" applyFont="1" applyFill="1" applyBorder="1" applyAlignment="1">
      <alignment horizontal="center" vertical="center" wrapText="1"/>
    </xf>
    <xf numFmtId="40" fontId="16" fillId="3" borderId="11" xfId="2" applyNumberFormat="1" applyFont="1" applyFill="1" applyBorder="1" applyAlignment="1">
      <alignment horizontal="center" vertical="center" wrapText="1"/>
    </xf>
    <xf numFmtId="38" fontId="16" fillId="2" borderId="1" xfId="2" applyFont="1" applyFill="1" applyBorder="1" applyAlignment="1">
      <alignment vertical="top" wrapText="1"/>
    </xf>
    <xf numFmtId="38" fontId="16" fillId="4" borderId="1" xfId="2" applyFont="1" applyFill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top" wrapText="1"/>
    </xf>
    <xf numFmtId="38" fontId="16" fillId="4" borderId="1" xfId="2" applyFont="1" applyFill="1" applyBorder="1" applyAlignment="1">
      <alignment vertical="center" wrapText="1"/>
    </xf>
    <xf numFmtId="0" fontId="16" fillId="4" borderId="11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38" xfId="0" applyNumberFormat="1" applyFont="1" applyBorder="1" applyAlignment="1">
      <alignment horizontal="left" vertical="center" wrapText="1"/>
    </xf>
    <xf numFmtId="0" fontId="16" fillId="0" borderId="38" xfId="0" applyFont="1" applyBorder="1" applyAlignment="1">
      <alignment vertical="center"/>
    </xf>
    <xf numFmtId="0" fontId="16" fillId="0" borderId="4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6" fillId="0" borderId="40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vertical="top" wrapText="1"/>
    </xf>
    <xf numFmtId="49" fontId="16" fillId="0" borderId="0" xfId="0" applyNumberFormat="1" applyFont="1" applyFill="1" applyBorder="1" applyAlignment="1">
      <alignment horizontal="righ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38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0" applyNumberFormat="1" applyFont="1" applyBorder="1" applyAlignment="1">
      <alignment vertical="center" wrapText="1"/>
    </xf>
    <xf numFmtId="49" fontId="16" fillId="0" borderId="0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38" fontId="16" fillId="0" borderId="1" xfId="2" applyFont="1" applyFill="1" applyBorder="1" applyAlignment="1">
      <alignment vertical="center" wrapText="1"/>
    </xf>
    <xf numFmtId="38" fontId="16" fillId="0" borderId="0" xfId="2" applyFont="1" applyBorder="1" applyAlignment="1">
      <alignment vertical="center" wrapText="1"/>
    </xf>
    <xf numFmtId="9" fontId="16" fillId="3" borderId="1" xfId="1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NumberFormat="1" applyFont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9" fontId="16" fillId="0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6" fillId="0" borderId="30" xfId="0" applyNumberFormat="1" applyFont="1" applyBorder="1" applyAlignment="1">
      <alignment vertical="top" wrapText="1"/>
    </xf>
    <xf numFmtId="0" fontId="16" fillId="0" borderId="34" xfId="0" applyNumberFormat="1" applyFont="1" applyBorder="1" applyAlignment="1">
      <alignment vertical="top" wrapText="1"/>
    </xf>
    <xf numFmtId="0" fontId="12" fillId="6" borderId="0" xfId="11" applyFont="1" applyFill="1"/>
    <xf numFmtId="37" fontId="12" fillId="0" borderId="0" xfId="9" applyNumberFormat="1" applyFont="1" applyProtection="1"/>
    <xf numFmtId="0" fontId="12" fillId="6" borderId="0" xfId="11" applyFont="1" applyFill="1" applyProtection="1"/>
    <xf numFmtId="9" fontId="12" fillId="0" borderId="0" xfId="12" applyFont="1" applyAlignment="1" applyProtection="1"/>
    <xf numFmtId="0" fontId="12" fillId="0" borderId="0" xfId="11" applyFont="1"/>
    <xf numFmtId="3" fontId="12" fillId="0" borderId="0" xfId="13" applyNumberFormat="1" applyFont="1" applyProtection="1"/>
    <xf numFmtId="38" fontId="12" fillId="0" borderId="0" xfId="10" applyFont="1" applyFill="1" applyBorder="1" applyProtection="1"/>
    <xf numFmtId="0" fontId="12" fillId="0" borderId="0" xfId="13" applyFont="1" applyProtection="1"/>
    <xf numFmtId="0" fontId="12" fillId="0" borderId="0" xfId="9" applyFont="1" applyFill="1" applyBorder="1" applyProtection="1"/>
    <xf numFmtId="0" fontId="16" fillId="0" borderId="0" xfId="0" applyFont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38" fontId="16" fillId="0" borderId="1" xfId="2" applyFont="1" applyBorder="1" applyAlignment="1">
      <alignment vertical="top" wrapText="1"/>
    </xf>
    <xf numFmtId="38" fontId="16" fillId="2" borderId="1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38" fontId="16" fillId="2" borderId="0" xfId="2" applyFont="1" applyFill="1" applyBorder="1" applyAlignment="1">
      <alignment horizontal="center" vertical="top" wrapText="1"/>
    </xf>
    <xf numFmtId="38" fontId="16" fillId="3" borderId="1" xfId="2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right" vertical="top" wrapText="1"/>
    </xf>
    <xf numFmtId="0" fontId="16" fillId="2" borderId="5" xfId="0" applyFont="1" applyFill="1" applyBorder="1" applyAlignment="1">
      <alignment vertical="top" wrapText="1"/>
    </xf>
    <xf numFmtId="38" fontId="16" fillId="6" borderId="2" xfId="14" applyFont="1" applyFill="1" applyBorder="1"/>
    <xf numFmtId="9" fontId="16" fillId="6" borderId="3" xfId="1" applyFont="1" applyFill="1" applyBorder="1" applyAlignment="1"/>
    <xf numFmtId="40" fontId="16" fillId="6" borderId="4" xfId="14" applyNumberFormat="1" applyFont="1" applyFill="1" applyBorder="1"/>
    <xf numFmtId="0" fontId="16" fillId="2" borderId="7" xfId="0" applyFont="1" applyFill="1" applyBorder="1" applyAlignment="1">
      <alignment vertical="top" wrapText="1"/>
    </xf>
    <xf numFmtId="0" fontId="16" fillId="2" borderId="8" xfId="0" applyFont="1" applyFill="1" applyBorder="1" applyAlignment="1">
      <alignment vertical="top" wrapText="1"/>
    </xf>
    <xf numFmtId="9" fontId="16" fillId="2" borderId="8" xfId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vertical="top" wrapText="1"/>
    </xf>
    <xf numFmtId="38" fontId="16" fillId="6" borderId="5" xfId="14" applyFont="1" applyFill="1" applyBorder="1" applyProtection="1"/>
    <xf numFmtId="9" fontId="16" fillId="6" borderId="0" xfId="1" applyFont="1" applyFill="1" applyBorder="1" applyAlignment="1" applyProtection="1"/>
    <xf numFmtId="40" fontId="16" fillId="6" borderId="6" xfId="14" applyNumberFormat="1" applyFont="1" applyFill="1" applyBorder="1" applyProtection="1"/>
    <xf numFmtId="0" fontId="16" fillId="0" borderId="0" xfId="0" applyNumberFormat="1" applyFont="1" applyAlignment="1">
      <alignment vertical="top"/>
    </xf>
    <xf numFmtId="0" fontId="18" fillId="2" borderId="2" xfId="0" applyFont="1" applyFill="1" applyBorder="1" applyAlignment="1">
      <alignment horizontal="center" vertical="top" wrapText="1"/>
    </xf>
    <xf numFmtId="0" fontId="12" fillId="2" borderId="3" xfId="9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top" wrapText="1"/>
    </xf>
    <xf numFmtId="38" fontId="16" fillId="2" borderId="1" xfId="2" applyFont="1" applyFill="1" applyBorder="1" applyAlignment="1">
      <alignment horizontal="center" vertical="top" wrapText="1"/>
    </xf>
    <xf numFmtId="38" fontId="12" fillId="2" borderId="0" xfId="2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 wrapText="1"/>
    </xf>
    <xf numFmtId="9" fontId="16" fillId="5" borderId="0" xfId="1" applyFont="1" applyFill="1" applyBorder="1" applyAlignment="1" applyProtection="1"/>
    <xf numFmtId="0" fontId="16" fillId="3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38" fontId="16" fillId="2" borderId="8" xfId="2" applyFont="1" applyFill="1" applyBorder="1" applyAlignment="1">
      <alignment horizontal="center" vertical="top" wrapText="1"/>
    </xf>
    <xf numFmtId="38" fontId="16" fillId="4" borderId="1" xfId="2" applyFont="1" applyFill="1" applyBorder="1" applyAlignment="1">
      <alignment horizontal="center" vertical="top" wrapText="1"/>
    </xf>
    <xf numFmtId="0" fontId="12" fillId="0" borderId="0" xfId="9" applyFont="1"/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6" xfId="0" applyFont="1" applyBorder="1" applyAlignment="1">
      <alignment vertical="top" wrapText="1"/>
    </xf>
    <xf numFmtId="38" fontId="16" fillId="2" borderId="12" xfId="2" applyFont="1" applyFill="1" applyBorder="1" applyAlignment="1">
      <alignment horizontal="center" vertical="top" wrapText="1"/>
    </xf>
    <xf numFmtId="0" fontId="12" fillId="5" borderId="1" xfId="9" applyFont="1" applyFill="1" applyBorder="1"/>
    <xf numFmtId="0" fontId="0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41" xfId="0" applyFont="1" applyBorder="1" applyAlignment="1">
      <alignment vertical="top" wrapText="1"/>
    </xf>
    <xf numFmtId="0" fontId="0" fillId="0" borderId="41" xfId="0" applyFont="1" applyFill="1" applyBorder="1" applyAlignment="1">
      <alignment vertical="top" wrapText="1"/>
    </xf>
    <xf numFmtId="0" fontId="0" fillId="0" borderId="38" xfId="0" applyFont="1" applyBorder="1" applyAlignment="1">
      <alignment vertical="top"/>
    </xf>
    <xf numFmtId="0" fontId="0" fillId="0" borderId="38" xfId="0" applyNumberFormat="1" applyFont="1" applyBorder="1" applyAlignment="1">
      <alignment vertical="top"/>
    </xf>
    <xf numFmtId="0" fontId="0" fillId="0" borderId="39" xfId="0" applyNumberFormat="1" applyFont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0" fontId="0" fillId="0" borderId="41" xfId="0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7" fillId="0" borderId="0" xfId="0" applyNumberFormat="1" applyFont="1" applyBorder="1" applyAlignment="1">
      <alignment vertical="top"/>
    </xf>
    <xf numFmtId="0" fontId="0" fillId="0" borderId="34" xfId="0" applyFont="1" applyBorder="1" applyAlignment="1">
      <alignment vertical="top"/>
    </xf>
    <xf numFmtId="0" fontId="0" fillId="0" borderId="35" xfId="0" applyNumberFormat="1" applyFont="1" applyBorder="1" applyAlignment="1">
      <alignment vertical="top"/>
    </xf>
    <xf numFmtId="0" fontId="0" fillId="0" borderId="39" xfId="0" applyNumberFormat="1" applyFont="1" applyBorder="1" applyAlignment="1">
      <alignment vertical="top" wrapText="1"/>
    </xf>
    <xf numFmtId="0" fontId="0" fillId="0" borderId="41" xfId="0" applyNumberFormat="1" applyFont="1" applyBorder="1" applyAlignment="1">
      <alignment vertical="top" wrapText="1"/>
    </xf>
    <xf numFmtId="0" fontId="0" fillId="0" borderId="41" xfId="0" applyNumberFormat="1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5" xfId="0" applyNumberFormat="1" applyFont="1" applyBorder="1" applyAlignment="1">
      <alignment vertical="top" wrapText="1"/>
    </xf>
    <xf numFmtId="0" fontId="1" fillId="0" borderId="0" xfId="139"/>
    <xf numFmtId="9" fontId="1" fillId="0" borderId="0" xfId="139" applyNumberFormat="1"/>
    <xf numFmtId="0" fontId="1" fillId="0" borderId="0" xfId="139" applyAlignment="1">
      <alignment horizontal="center"/>
    </xf>
    <xf numFmtId="0" fontId="1" fillId="0" borderId="0" xfId="139" applyAlignment="1">
      <alignment horizontal="right"/>
    </xf>
    <xf numFmtId="0" fontId="1" fillId="0" borderId="12" xfId="139" applyBorder="1" applyAlignment="1">
      <alignment horizontal="center"/>
    </xf>
    <xf numFmtId="0" fontId="1" fillId="0" borderId="1" xfId="139" applyBorder="1" applyAlignment="1">
      <alignment horizontal="center"/>
    </xf>
    <xf numFmtId="0" fontId="1" fillId="0" borderId="3" xfId="139" applyBorder="1"/>
    <xf numFmtId="38" fontId="0" fillId="9" borderId="3" xfId="140" applyFont="1" applyFill="1" applyBorder="1"/>
    <xf numFmtId="38" fontId="0" fillId="9" borderId="4" xfId="140" applyFont="1" applyFill="1" applyBorder="1"/>
    <xf numFmtId="0" fontId="1" fillId="0" borderId="0" xfId="139" applyFont="1" applyAlignment="1">
      <alignment horizontal="center" vertical="top" wrapText="1"/>
    </xf>
    <xf numFmtId="0" fontId="1" fillId="0" borderId="0" xfId="139" applyBorder="1"/>
    <xf numFmtId="38" fontId="0" fillId="9" borderId="0" xfId="140" applyFont="1" applyFill="1" applyBorder="1"/>
    <xf numFmtId="38" fontId="0" fillId="9" borderId="6" xfId="140" applyFont="1" applyFill="1" applyBorder="1"/>
    <xf numFmtId="37" fontId="12" fillId="3" borderId="2" xfId="21" applyFont="1" applyFill="1" applyBorder="1"/>
    <xf numFmtId="0" fontId="1" fillId="2" borderId="2" xfId="139" applyFont="1" applyFill="1" applyBorder="1" applyAlignment="1">
      <alignment horizontal="center" vertical="top" wrapText="1"/>
    </xf>
    <xf numFmtId="40" fontId="0" fillId="2" borderId="3" xfId="140" applyNumberFormat="1" applyFont="1" applyFill="1" applyBorder="1" applyAlignment="1">
      <alignment horizontal="center" vertical="top" wrapText="1"/>
    </xf>
    <xf numFmtId="40" fontId="0" fillId="2" borderId="4" xfId="140" applyNumberFormat="1" applyFont="1" applyFill="1" applyBorder="1" applyAlignment="1">
      <alignment horizontal="center" vertical="top" wrapText="1"/>
    </xf>
    <xf numFmtId="0" fontId="1" fillId="3" borderId="0" xfId="139" applyFill="1" applyAlignment="1">
      <alignment horizontal="center"/>
    </xf>
    <xf numFmtId="0" fontId="1" fillId="0" borderId="7" xfId="139" applyBorder="1"/>
    <xf numFmtId="38" fontId="0" fillId="9" borderId="8" xfId="140" applyFont="1" applyFill="1" applyBorder="1"/>
    <xf numFmtId="38" fontId="0" fillId="9" borderId="9" xfId="140" applyFont="1" applyFill="1" applyBorder="1"/>
    <xf numFmtId="37" fontId="12" fillId="3" borderId="5" xfId="21" applyFont="1" applyFill="1" applyBorder="1"/>
    <xf numFmtId="0" fontId="1" fillId="2" borderId="5" xfId="139" applyFont="1" applyFill="1" applyBorder="1" applyAlignment="1">
      <alignment horizontal="center" vertical="top" wrapText="1"/>
    </xf>
    <xf numFmtId="40" fontId="0" fillId="2" borderId="0" xfId="140" applyNumberFormat="1" applyFont="1" applyFill="1" applyBorder="1" applyAlignment="1">
      <alignment horizontal="center" vertical="top" wrapText="1"/>
    </xf>
    <xf numFmtId="40" fontId="0" fillId="2" borderId="6" xfId="140" applyNumberFormat="1" applyFont="1" applyFill="1" applyBorder="1" applyAlignment="1">
      <alignment horizontal="center" vertical="top" wrapText="1"/>
    </xf>
    <xf numFmtId="0" fontId="1" fillId="0" borderId="2" xfId="139" applyBorder="1" applyAlignment="1">
      <alignment horizontal="right"/>
    </xf>
    <xf numFmtId="0" fontId="1" fillId="0" borderId="10" xfId="139" applyBorder="1"/>
    <xf numFmtId="40" fontId="0" fillId="3" borderId="3" xfId="140" applyNumberFormat="1" applyFont="1" applyFill="1" applyBorder="1"/>
    <xf numFmtId="40" fontId="0" fillId="3" borderId="4" xfId="140" applyNumberFormat="1" applyFont="1" applyFill="1" applyBorder="1"/>
    <xf numFmtId="0" fontId="1" fillId="0" borderId="5" xfId="139" applyBorder="1"/>
    <xf numFmtId="0" fontId="1" fillId="0" borderId="36" xfId="139" applyBorder="1"/>
    <xf numFmtId="40" fontId="0" fillId="3" borderId="0" xfId="140" applyNumberFormat="1" applyFont="1" applyFill="1" applyBorder="1"/>
    <xf numFmtId="40" fontId="0" fillId="3" borderId="6" xfId="140" applyNumberFormat="1" applyFont="1" applyFill="1" applyBorder="1"/>
    <xf numFmtId="0" fontId="1" fillId="2" borderId="7" xfId="139" applyFont="1" applyFill="1" applyBorder="1" applyAlignment="1">
      <alignment horizontal="center" vertical="top" wrapText="1"/>
    </xf>
    <xf numFmtId="40" fontId="0" fillId="2" borderId="8" xfId="140" applyNumberFormat="1" applyFont="1" applyFill="1" applyBorder="1" applyAlignment="1">
      <alignment horizontal="center" vertical="top" wrapText="1"/>
    </xf>
    <xf numFmtId="40" fontId="0" fillId="2" borderId="9" xfId="140" applyNumberFormat="1" applyFont="1" applyFill="1" applyBorder="1" applyAlignment="1">
      <alignment horizontal="center" vertical="top" wrapText="1"/>
    </xf>
    <xf numFmtId="0" fontId="1" fillId="0" borderId="11" xfId="139" applyBorder="1"/>
    <xf numFmtId="40" fontId="0" fillId="3" borderId="8" xfId="140" applyNumberFormat="1" applyFont="1" applyFill="1" applyBorder="1"/>
    <xf numFmtId="40" fontId="0" fillId="3" borderId="9" xfId="140" applyNumberFormat="1" applyFont="1" applyFill="1" applyBorder="1"/>
    <xf numFmtId="0" fontId="1" fillId="0" borderId="7" xfId="139" applyFont="1" applyBorder="1" applyAlignment="1">
      <alignment vertical="top" wrapText="1"/>
    </xf>
    <xf numFmtId="0" fontId="1" fillId="0" borderId="9" xfId="139" applyFont="1" applyBorder="1" applyAlignment="1">
      <alignment horizontal="center" vertical="top" wrapText="1"/>
    </xf>
    <xf numFmtId="0" fontId="1" fillId="0" borderId="10" xfId="139" applyBorder="1" applyAlignment="1">
      <alignment horizontal="right"/>
    </xf>
    <xf numFmtId="0" fontId="1" fillId="0" borderId="2" xfId="139" applyBorder="1"/>
    <xf numFmtId="40" fontId="0" fillId="3" borderId="24" xfId="140" applyNumberFormat="1" applyFont="1" applyFill="1" applyBorder="1"/>
    <xf numFmtId="40" fontId="0" fillId="3" borderId="45" xfId="140" applyNumberFormat="1" applyFont="1" applyFill="1" applyBorder="1"/>
    <xf numFmtId="40" fontId="0" fillId="3" borderId="12" xfId="140" applyNumberFormat="1" applyFont="1" applyFill="1" applyBorder="1"/>
    <xf numFmtId="0" fontId="1" fillId="0" borderId="24" xfId="139" applyBorder="1"/>
    <xf numFmtId="0" fontId="1" fillId="0" borderId="24" xfId="139" applyFill="1" applyBorder="1"/>
    <xf numFmtId="0" fontId="1" fillId="3" borderId="1" xfId="139" applyFill="1" applyBorder="1"/>
    <xf numFmtId="38" fontId="0" fillId="3" borderId="8" xfId="140" applyFont="1" applyFill="1" applyBorder="1"/>
    <xf numFmtId="38" fontId="0" fillId="3" borderId="9" xfId="140" applyFont="1" applyFill="1" applyBorder="1"/>
    <xf numFmtId="38" fontId="0" fillId="3" borderId="24" xfId="140" applyFont="1" applyFill="1" applyBorder="1"/>
    <xf numFmtId="38" fontId="0" fillId="3" borderId="45" xfId="140" applyFont="1" applyFill="1" applyBorder="1"/>
    <xf numFmtId="38" fontId="0" fillId="3" borderId="12" xfId="140" applyFont="1" applyFill="1" applyBorder="1"/>
    <xf numFmtId="38" fontId="0" fillId="3" borderId="7" xfId="140" applyFont="1" applyFill="1" applyBorder="1"/>
    <xf numFmtId="38" fontId="0" fillId="11" borderId="0" xfId="140" applyFont="1" applyFill="1"/>
    <xf numFmtId="0" fontId="21" fillId="2" borderId="42" xfId="139" applyFont="1" applyFill="1" applyBorder="1" applyAlignment="1">
      <alignment horizontal="center"/>
    </xf>
    <xf numFmtId="38" fontId="21" fillId="2" borderId="43" xfId="140" applyFont="1" applyFill="1" applyBorder="1" applyAlignment="1">
      <alignment horizontal="center"/>
    </xf>
    <xf numFmtId="0" fontId="21" fillId="2" borderId="44" xfId="139" applyFont="1" applyFill="1" applyBorder="1" applyAlignment="1">
      <alignment horizontal="center"/>
    </xf>
    <xf numFmtId="40" fontId="20" fillId="2" borderId="42" xfId="139" applyNumberFormat="1" applyFont="1" applyFill="1" applyBorder="1"/>
    <xf numFmtId="40" fontId="20" fillId="2" borderId="43" xfId="139" applyNumberFormat="1" applyFont="1" applyFill="1" applyBorder="1"/>
    <xf numFmtId="0" fontId="20" fillId="2" borderId="46" xfId="139" applyFont="1" applyFill="1" applyBorder="1"/>
    <xf numFmtId="38" fontId="0" fillId="2" borderId="42" xfId="140" applyFont="1" applyFill="1" applyBorder="1"/>
    <xf numFmtId="38" fontId="0" fillId="2" borderId="43" xfId="140" applyFont="1" applyFill="1" applyBorder="1"/>
    <xf numFmtId="38" fontId="0" fillId="2" borderId="44" xfId="140" applyFont="1" applyFill="1" applyBorder="1"/>
    <xf numFmtId="40" fontId="20" fillId="3" borderId="0" xfId="139" applyNumberFormat="1" applyFont="1" applyFill="1" applyBorder="1"/>
    <xf numFmtId="40" fontId="20" fillId="3" borderId="6" xfId="139" applyNumberFormat="1" applyFont="1" applyFill="1" applyBorder="1"/>
    <xf numFmtId="0" fontId="20" fillId="3" borderId="45" xfId="139" applyFont="1" applyFill="1" applyBorder="1"/>
    <xf numFmtId="0" fontId="20" fillId="3" borderId="12" xfId="139" applyFont="1" applyFill="1" applyBorder="1"/>
    <xf numFmtId="2" fontId="20" fillId="2" borderId="5" xfId="139" applyNumberFormat="1" applyFont="1" applyFill="1" applyBorder="1"/>
    <xf numFmtId="0" fontId="20" fillId="3" borderId="0" xfId="139" applyFont="1" applyFill="1" applyBorder="1"/>
    <xf numFmtId="0" fontId="20" fillId="3" borderId="6" xfId="139" applyFont="1" applyFill="1" applyBorder="1"/>
    <xf numFmtId="178" fontId="20" fillId="3" borderId="5" xfId="139" applyNumberFormat="1" applyFont="1" applyFill="1" applyBorder="1"/>
    <xf numFmtId="178" fontId="20" fillId="3" borderId="0" xfId="139" applyNumberFormat="1" applyFont="1" applyFill="1" applyBorder="1"/>
    <xf numFmtId="178" fontId="20" fillId="3" borderId="6" xfId="139" applyNumberFormat="1" applyFont="1" applyFill="1" applyBorder="1"/>
    <xf numFmtId="2" fontId="20" fillId="2" borderId="7" xfId="139" applyNumberFormat="1" applyFont="1" applyFill="1" applyBorder="1"/>
    <xf numFmtId="2" fontId="20" fillId="3" borderId="8" xfId="139" applyNumberFormat="1" applyFont="1" applyFill="1" applyBorder="1"/>
    <xf numFmtId="2" fontId="20" fillId="3" borderId="9" xfId="139" applyNumberFormat="1" applyFont="1" applyFill="1" applyBorder="1"/>
    <xf numFmtId="38" fontId="20" fillId="10" borderId="0" xfId="139" applyNumberFormat="1" applyFont="1" applyFill="1"/>
    <xf numFmtId="0" fontId="0" fillId="0" borderId="0" xfId="0" applyFont="1" applyAlignment="1">
      <alignment horizontal="right" vertical="top" wrapText="1"/>
    </xf>
    <xf numFmtId="0" fontId="0" fillId="0" borderId="10" xfId="0" applyFont="1" applyBorder="1" applyAlignment="1">
      <alignment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45" xfId="0" applyFont="1" applyBorder="1" applyAlignment="1">
      <alignment horizontal="center" vertical="top" wrapText="1"/>
    </xf>
    <xf numFmtId="38" fontId="0" fillId="0" borderId="3" xfId="2" applyFont="1" applyBorder="1" applyAlignment="1">
      <alignment vertical="top" wrapText="1"/>
    </xf>
    <xf numFmtId="38" fontId="0" fillId="0" borderId="4" xfId="2" applyFont="1" applyBorder="1" applyAlignment="1">
      <alignment vertical="top" wrapText="1"/>
    </xf>
    <xf numFmtId="38" fontId="0" fillId="0" borderId="10" xfId="0" applyNumberFormat="1" applyFont="1" applyBorder="1" applyAlignment="1">
      <alignment vertical="top" wrapText="1"/>
    </xf>
    <xf numFmtId="0" fontId="0" fillId="0" borderId="36" xfId="0" applyFont="1" applyBorder="1" applyAlignment="1">
      <alignment vertical="top" wrapText="1"/>
    </xf>
    <xf numFmtId="38" fontId="0" fillId="0" borderId="0" xfId="2" applyFont="1" applyBorder="1" applyAlignment="1">
      <alignment vertical="top" wrapText="1"/>
    </xf>
    <xf numFmtId="38" fontId="0" fillId="0" borderId="6" xfId="2" applyFont="1" applyBorder="1" applyAlignment="1">
      <alignment vertical="top" wrapText="1"/>
    </xf>
    <xf numFmtId="38" fontId="0" fillId="0" borderId="36" xfId="0" applyNumberFormat="1" applyFont="1" applyBorder="1" applyAlignment="1">
      <alignment vertical="top" wrapText="1"/>
    </xf>
    <xf numFmtId="38" fontId="0" fillId="0" borderId="45" xfId="2" applyFont="1" applyBorder="1" applyAlignment="1">
      <alignment vertical="top" wrapText="1"/>
    </xf>
    <xf numFmtId="38" fontId="0" fillId="0" borderId="12" xfId="2" applyFont="1" applyBorder="1" applyAlignment="1">
      <alignment vertical="top" wrapText="1"/>
    </xf>
    <xf numFmtId="38" fontId="0" fillId="0" borderId="1" xfId="0" applyNumberFormat="1" applyFont="1" applyBorder="1" applyAlignment="1">
      <alignment vertical="top" wrapText="1"/>
    </xf>
    <xf numFmtId="38" fontId="0" fillId="0" borderId="0" xfId="2" applyFont="1" applyAlignment="1">
      <alignment vertical="top" wrapText="1"/>
    </xf>
    <xf numFmtId="38" fontId="0" fillId="3" borderId="3" xfId="140" applyFont="1" applyFill="1" applyBorder="1"/>
    <xf numFmtId="0" fontId="16" fillId="3" borderId="0" xfId="0" applyFont="1" applyFill="1" applyBorder="1" applyAlignment="1">
      <alignment horizontal="center" vertical="top" wrapText="1"/>
    </xf>
    <xf numFmtId="38" fontId="16" fillId="3" borderId="8" xfId="2" applyFont="1" applyFill="1" applyBorder="1" applyAlignment="1">
      <alignment vertical="top" wrapText="1"/>
    </xf>
    <xf numFmtId="38" fontId="16" fillId="3" borderId="8" xfId="0" applyNumberFormat="1" applyFont="1" applyFill="1" applyBorder="1" applyAlignment="1">
      <alignment vertical="top" wrapText="1"/>
    </xf>
    <xf numFmtId="38" fontId="16" fillId="3" borderId="12" xfId="2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38" fontId="0" fillId="0" borderId="1" xfId="2" applyFont="1" applyBorder="1" applyAlignment="1">
      <alignment vertical="center" wrapText="1"/>
    </xf>
    <xf numFmtId="38" fontId="0" fillId="0" borderId="0" xfId="2" applyFont="1" applyAlignment="1">
      <alignment vertical="center" wrapText="1"/>
    </xf>
    <xf numFmtId="49" fontId="16" fillId="12" borderId="0" xfId="0" applyNumberFormat="1" applyFont="1" applyFill="1" applyBorder="1" applyAlignment="1">
      <alignment vertical="center" wrapText="1"/>
    </xf>
    <xf numFmtId="0" fontId="16" fillId="12" borderId="0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top" wrapText="1"/>
    </xf>
    <xf numFmtId="0" fontId="22" fillId="0" borderId="0" xfId="0" applyNumberFormat="1" applyFont="1" applyAlignment="1">
      <alignment vertical="center" wrapText="1"/>
    </xf>
    <xf numFmtId="38" fontId="0" fillId="0" borderId="10" xfId="2" applyFont="1" applyBorder="1" applyAlignment="1">
      <alignment vertical="center" wrapText="1"/>
    </xf>
    <xf numFmtId="38" fontId="0" fillId="0" borderId="36" xfId="2" applyFont="1" applyBorder="1" applyAlignment="1">
      <alignment vertical="center" wrapText="1"/>
    </xf>
    <xf numFmtId="38" fontId="0" fillId="0" borderId="11" xfId="2" applyFont="1" applyBorder="1" applyAlignment="1">
      <alignment vertical="center" wrapText="1"/>
    </xf>
    <xf numFmtId="0" fontId="23" fillId="0" borderId="0" xfId="0" applyNumberFormat="1" applyFont="1" applyAlignment="1">
      <alignment vertical="center" wrapText="1"/>
    </xf>
    <xf numFmtId="0" fontId="24" fillId="0" borderId="0" xfId="0" applyNumberFormat="1" applyFont="1" applyAlignment="1">
      <alignment vertical="center" wrapText="1"/>
    </xf>
    <xf numFmtId="57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3" fillId="0" borderId="1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0" fontId="16" fillId="3" borderId="12" xfId="1" applyNumberFormat="1" applyFont="1" applyFill="1" applyBorder="1" applyAlignment="1">
      <alignment vertical="center" wrapText="1"/>
    </xf>
    <xf numFmtId="10" fontId="16" fillId="3" borderId="12" xfId="0" applyNumberFormat="1" applyFont="1" applyFill="1" applyBorder="1" applyAlignment="1">
      <alignment vertical="center" wrapText="1"/>
    </xf>
    <xf numFmtId="179" fontId="0" fillId="0" borderId="0" xfId="2" applyNumberFormat="1" applyFont="1" applyAlignment="1">
      <alignment vertical="center" wrapText="1"/>
    </xf>
    <xf numFmtId="38" fontId="0" fillId="3" borderId="7" xfId="2" applyFont="1" applyFill="1" applyBorder="1"/>
    <xf numFmtId="0" fontId="16" fillId="0" borderId="37" xfId="0" applyFont="1" applyBorder="1" applyAlignment="1">
      <alignment horizontal="center" vertical="center"/>
    </xf>
    <xf numFmtId="9" fontId="16" fillId="3" borderId="1" xfId="0" applyNumberFormat="1" applyFont="1" applyFill="1" applyBorder="1" applyAlignment="1">
      <alignment vertical="top" wrapText="1"/>
    </xf>
    <xf numFmtId="38" fontId="16" fillId="0" borderId="0" xfId="2" applyFont="1" applyFill="1" applyBorder="1" applyAlignment="1">
      <alignment vertical="top" wrapText="1"/>
    </xf>
    <xf numFmtId="0" fontId="16" fillId="4" borderId="37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vertical="top" wrapText="1"/>
    </xf>
    <xf numFmtId="0" fontId="16" fillId="0" borderId="39" xfId="0" applyFont="1" applyBorder="1" applyAlignment="1">
      <alignment vertical="top" wrapText="1"/>
    </xf>
    <xf numFmtId="9" fontId="6" fillId="0" borderId="0" xfId="1" applyFont="1" applyFill="1" applyBorder="1" applyAlignment="1">
      <alignment vertical="top" wrapText="1"/>
    </xf>
    <xf numFmtId="38" fontId="14" fillId="0" borderId="0" xfId="2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80" fontId="0" fillId="0" borderId="0" xfId="0" applyNumberFormat="1" applyFont="1" applyAlignment="1">
      <alignment vertical="top" wrapText="1"/>
    </xf>
    <xf numFmtId="180" fontId="0" fillId="3" borderId="1" xfId="0" applyNumberFormat="1" applyFont="1" applyFill="1" applyBorder="1" applyAlignment="1">
      <alignment horizontal="center" vertical="center" wrapText="1"/>
    </xf>
    <xf numFmtId="0" fontId="12" fillId="3" borderId="1" xfId="9" applyFont="1" applyFill="1" applyBorder="1"/>
    <xf numFmtId="37" fontId="12" fillId="0" borderId="13" xfId="21" applyFont="1" applyBorder="1" applyAlignment="1">
      <alignment horizontal="center"/>
    </xf>
    <xf numFmtId="37" fontId="12" fillId="0" borderId="14" xfId="21" applyFont="1" applyBorder="1" applyAlignment="1">
      <alignment horizontal="center"/>
    </xf>
    <xf numFmtId="37" fontId="12" fillId="0" borderId="16" xfId="21" applyFont="1" applyBorder="1" applyAlignment="1">
      <alignment horizontal="center"/>
    </xf>
    <xf numFmtId="37" fontId="12" fillId="0" borderId="19" xfId="21" applyFont="1" applyBorder="1" applyAlignment="1">
      <alignment horizontal="center"/>
    </xf>
    <xf numFmtId="0" fontId="1" fillId="0" borderId="24" xfId="139" applyBorder="1" applyAlignment="1">
      <alignment horizontal="center"/>
    </xf>
    <xf numFmtId="0" fontId="1" fillId="0" borderId="45" xfId="139" applyBorder="1" applyAlignment="1">
      <alignment horizontal="center"/>
    </xf>
  </cellXfs>
  <cellStyles count="269">
    <cellStyle name="パーセント" xfId="1" builtinId="5"/>
    <cellStyle name="パーセント 2" xfId="16"/>
    <cellStyle name="パーセント 3" xfId="12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17" builtinId="8" hidden="1"/>
    <cellStyle name="ハイパーリンク" xfId="19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桁区切り" xfId="2" builtinId="6"/>
    <cellStyle name="桁区切り 2" xfId="140"/>
    <cellStyle name="桁区切り 3" xfId="10"/>
    <cellStyle name="桁区切り 5" xfId="14"/>
    <cellStyle name="標準" xfId="0" builtinId="0"/>
    <cellStyle name="標準 2" xfId="15"/>
    <cellStyle name="標準 3" xfId="21"/>
    <cellStyle name="標準 4" xfId="9"/>
    <cellStyle name="標準 5" xfId="139"/>
    <cellStyle name="標準 6" xfId="11"/>
    <cellStyle name="標準_会社情報" xfId="22"/>
    <cellStyle name="標準_税率" xfId="1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</cellStyles>
  <dxfs count="25">
    <dxf>
      <font>
        <color rgb="FF9C5700"/>
      </font>
      <fill>
        <patternFill>
          <bgColor rgb="FFFFEB9C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C7CE"/>
        </patternFill>
      </fill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24893476661282"/>
          <c:y val="0.206481481481481"/>
          <c:w val="0.855789135380634"/>
          <c:h val="0.671543452901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株価10年推移!$C$27</c:f>
              <c:strCache>
                <c:ptCount val="1"/>
                <c:pt idx="0">
                  <c:v>一株当株価</c:v>
                </c:pt>
              </c:strCache>
            </c:strRef>
          </c:tx>
          <c:invertIfNegative val="0"/>
          <c:cat>
            <c:strRef>
              <c:f>株価10年推移!$D$5:$N$5</c:f>
              <c:strCache>
                <c:ptCount val="11"/>
                <c:pt idx="0">
                  <c:v>当期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株価10年推移!$D$27:$N$27</c:f>
              <c:numCache>
                <c:formatCode>#,##0_);[Red]\(#,##0\)</c:formatCode>
                <c:ptCount val="11"/>
                <c:pt idx="0">
                  <c:v>777.9791666666666</c:v>
                </c:pt>
                <c:pt idx="1">
                  <c:v>705.5183266666666</c:v>
                </c:pt>
                <c:pt idx="2">
                  <c:v>695.6199866666667</c:v>
                </c:pt>
                <c:pt idx="3">
                  <c:v>685.7216466666666</c:v>
                </c:pt>
                <c:pt idx="4">
                  <c:v>676.0524733333333</c:v>
                </c:pt>
                <c:pt idx="5">
                  <c:v>666.1541333333333</c:v>
                </c:pt>
                <c:pt idx="6">
                  <c:v>656.2557933333333</c:v>
                </c:pt>
                <c:pt idx="7">
                  <c:v>646.58662</c:v>
                </c:pt>
                <c:pt idx="8">
                  <c:v>636.68828</c:v>
                </c:pt>
                <c:pt idx="9">
                  <c:v>626.78994</c:v>
                </c:pt>
                <c:pt idx="10">
                  <c:v>616.8915999999999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34-4DD3-A04B-F2396B5C6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0297720"/>
        <c:axId val="-2092152472"/>
      </c:barChart>
      <c:catAx>
        <c:axId val="-210029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92152472"/>
        <c:crosses val="autoZero"/>
        <c:auto val="1"/>
        <c:lblAlgn val="ctr"/>
        <c:lblOffset val="100"/>
        <c:noMultiLvlLbl val="0"/>
      </c:catAx>
      <c:valAx>
        <c:axId val="-2092152472"/>
        <c:scaling>
          <c:orientation val="minMax"/>
          <c:min val="0.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-2100297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7931028674892"/>
          <c:y val="0.0567523330417031"/>
          <c:w val="0.0737802012716325"/>
          <c:h val="0.092976450860309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89" dropStyle="combo" dx="16" fmlaLink="株価計算!$L$38" fmlaRange="株価計算!$L$31:$L$37" sel="5" val="0"/>
</file>

<file path=xl/ctrlProps/ctrlProp2.xml><?xml version="1.0" encoding="utf-8"?>
<formControlPr xmlns="http://schemas.microsoft.com/office/spreadsheetml/2009/9/main" objectType="Drop" dropLines="78" dropStyle="combo" dx="16" fmlaLink="$L$38" fmlaRange="$L$31:$L$37" sel="5" val="0"/>
</file>

<file path=xl/ctrlProps/ctrlProp3.xml><?xml version="1.0" encoding="utf-8"?>
<formControlPr xmlns="http://schemas.microsoft.com/office/spreadsheetml/2009/9/main" objectType="Drop" dropLines="78" dropStyle="combo" dx="16" fmlaLink="$L$38" fmlaRange="$L$31:$L$37" sel="5" val="0"/>
</file>

<file path=xl/ctrlProps/ctrlProp4.xml><?xml version="1.0" encoding="utf-8"?>
<formControlPr xmlns="http://schemas.microsoft.com/office/spreadsheetml/2009/9/main" objectType="Drop" dropLines="89" dropStyle="combo" dx="16" fmlaLink="株価計算!$L$38" fmlaRange="$Q$8:$Q$12" sel="5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12700</xdr:rowOff>
        </xdr:from>
        <xdr:to>
          <xdr:col>7</xdr:col>
          <xdr:colOff>571500</xdr:colOff>
          <xdr:row>24</xdr:row>
          <xdr:rowOff>76200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30</xdr:row>
          <xdr:rowOff>88900</xdr:rowOff>
        </xdr:from>
        <xdr:to>
          <xdr:col>10</xdr:col>
          <xdr:colOff>101600</xdr:colOff>
          <xdr:row>31</xdr:row>
          <xdr:rowOff>127000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190500</xdr:rowOff>
        </xdr:from>
        <xdr:to>
          <xdr:col>6</xdr:col>
          <xdr:colOff>1130300</xdr:colOff>
          <xdr:row>17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749300</xdr:colOff>
      <xdr:row>29</xdr:row>
      <xdr:rowOff>25400</xdr:rowOff>
    </xdr:from>
    <xdr:to>
      <xdr:col>13</xdr:col>
      <xdr:colOff>838200</xdr:colOff>
      <xdr:row>41</xdr:row>
      <xdr:rowOff>25400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863600</xdr:colOff>
          <xdr:row>18</xdr:row>
          <xdr:rowOff>215900</xdr:rowOff>
        </xdr:from>
        <xdr:to>
          <xdr:col>1</xdr:col>
          <xdr:colOff>1079500</xdr:colOff>
          <xdr:row>19</xdr:row>
          <xdr:rowOff>228600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usan/CloudStation/&#9734;1_&#27861;&#20154;_DB_ORG/20190612_HEN&#24179;&#25104;&#12456;&#12531;&#12472;&#12491;&#12450;&#12522;&#12531;&#12464;/&#35336;&#31639;/HEN_&#12491;&#12540;&#12474;&#20104;&#28204;v1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CloudStation/&#9734;1_A%20to%20B%20&#21942;&#26989;&#25126;&#30053;_ORG/0_B2_&#30456;&#32154;&#12539;&#20107;&#26989;&#25215;&#32153;PRJ_ORG/0_A_&#20107;&#26989;&#25215;&#32153;&#22823;&#32113;&#21512;EXCEL_ORG/B_&#20107;&#26989;&#25215;&#32153;&#22823;&#32113;&#21512;V1.3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ニーズ仮説"/>
      <sheetName val="ニーズの考え方"/>
      <sheetName val="株価計算"/>
      <sheetName val="資産税"/>
      <sheetName val="Ver"/>
      <sheetName val="株主資本変動"/>
    </sheetNames>
    <sheetDataSet>
      <sheetData sheetId="0" refreshError="1"/>
      <sheetData sheetId="1" refreshError="1"/>
      <sheetData sheetId="2" refreshError="1"/>
      <sheetData sheetId="3">
        <row r="31">
          <cell r="M31">
            <v>1</v>
          </cell>
          <cell r="N31">
            <v>0.7</v>
          </cell>
          <cell r="O31">
            <v>1</v>
          </cell>
        </row>
        <row r="32">
          <cell r="M32">
            <v>2</v>
          </cell>
          <cell r="N32">
            <v>0.6</v>
          </cell>
          <cell r="O32">
            <v>0.9</v>
          </cell>
        </row>
        <row r="33">
          <cell r="M33">
            <v>3</v>
          </cell>
          <cell r="N33">
            <v>0.6</v>
          </cell>
          <cell r="O33">
            <v>0.75</v>
          </cell>
        </row>
        <row r="34">
          <cell r="M34">
            <v>4</v>
          </cell>
          <cell r="N34">
            <v>0.6</v>
          </cell>
          <cell r="O34">
            <v>0.6</v>
          </cell>
        </row>
        <row r="35">
          <cell r="M35">
            <v>5</v>
          </cell>
          <cell r="N35">
            <v>0.5</v>
          </cell>
          <cell r="O35">
            <v>0.5</v>
          </cell>
        </row>
      </sheetData>
      <sheetData sheetId="4">
        <row r="4">
          <cell r="E4">
            <v>110</v>
          </cell>
          <cell r="F4">
            <v>502.00789999999984</v>
          </cell>
        </row>
        <row r="6">
          <cell r="L6">
            <v>-10000</v>
          </cell>
          <cell r="M6">
            <v>0</v>
          </cell>
          <cell r="N6">
            <v>0</v>
          </cell>
          <cell r="Q6">
            <v>-10000</v>
          </cell>
          <cell r="R6">
            <v>0</v>
          </cell>
          <cell r="S6">
            <v>0</v>
          </cell>
        </row>
        <row r="7">
          <cell r="L7">
            <v>0</v>
          </cell>
          <cell r="M7">
            <v>0.1</v>
          </cell>
          <cell r="N7">
            <v>0</v>
          </cell>
          <cell r="Q7">
            <v>0</v>
          </cell>
          <cell r="R7">
            <v>0.1</v>
          </cell>
          <cell r="S7">
            <v>0</v>
          </cell>
        </row>
        <row r="8">
          <cell r="L8">
            <v>1000</v>
          </cell>
          <cell r="M8">
            <v>0.15</v>
          </cell>
          <cell r="N8">
            <v>50</v>
          </cell>
          <cell r="Q8">
            <v>200</v>
          </cell>
          <cell r="R8">
            <v>0.15</v>
          </cell>
          <cell r="S8">
            <v>10</v>
          </cell>
        </row>
        <row r="9">
          <cell r="L9">
            <v>3000</v>
          </cell>
          <cell r="M9">
            <v>0.2</v>
          </cell>
          <cell r="N9">
            <v>200</v>
          </cell>
          <cell r="Q9">
            <v>300.00000999999997</v>
          </cell>
          <cell r="R9">
            <v>0.15</v>
          </cell>
          <cell r="S9">
            <v>10</v>
          </cell>
        </row>
        <row r="10">
          <cell r="L10">
            <v>5000</v>
          </cell>
          <cell r="M10">
            <v>0.3</v>
          </cell>
          <cell r="N10">
            <v>700</v>
          </cell>
          <cell r="Q10">
            <v>400.00000999999997</v>
          </cell>
          <cell r="R10">
            <v>0.2</v>
          </cell>
          <cell r="S10">
            <v>30</v>
          </cell>
        </row>
        <row r="11">
          <cell r="L11">
            <v>10000</v>
          </cell>
          <cell r="M11">
            <v>0.4</v>
          </cell>
          <cell r="N11">
            <v>1700</v>
          </cell>
          <cell r="Q11">
            <v>600</v>
          </cell>
          <cell r="R11">
            <v>0.3</v>
          </cell>
          <cell r="S11">
            <v>90</v>
          </cell>
        </row>
        <row r="12">
          <cell r="L12">
            <v>20000</v>
          </cell>
          <cell r="M12">
            <v>0.45</v>
          </cell>
          <cell r="N12">
            <v>2700</v>
          </cell>
          <cell r="Q12">
            <v>1000</v>
          </cell>
          <cell r="R12">
            <v>0.4</v>
          </cell>
          <cell r="S12">
            <v>190</v>
          </cell>
        </row>
        <row r="13">
          <cell r="L13">
            <v>30000</v>
          </cell>
          <cell r="M13">
            <v>0.5</v>
          </cell>
          <cell r="N13">
            <v>4200</v>
          </cell>
          <cell r="Q13">
            <v>1500</v>
          </cell>
          <cell r="R13">
            <v>0.45</v>
          </cell>
          <cell r="S13">
            <v>265</v>
          </cell>
        </row>
        <row r="14">
          <cell r="L14">
            <v>60000</v>
          </cell>
          <cell r="M14">
            <v>0.55000000000000004</v>
          </cell>
          <cell r="N14">
            <v>7200</v>
          </cell>
          <cell r="Q14">
            <v>3000</v>
          </cell>
          <cell r="R14">
            <v>0.5</v>
          </cell>
          <cell r="S14">
            <v>415</v>
          </cell>
        </row>
        <row r="15">
          <cell r="Q15">
            <v>4500</v>
          </cell>
          <cell r="R15">
            <v>0.55000000000000004</v>
          </cell>
          <cell r="S15">
            <v>640</v>
          </cell>
        </row>
        <row r="29">
          <cell r="F29">
            <v>3000</v>
          </cell>
        </row>
        <row r="30">
          <cell r="F30">
            <v>600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Version"/>
      <sheetName val="会社規模判定"/>
      <sheetName val="同族の判定"/>
      <sheetName val="個人財産"/>
      <sheetName val="今回のケース"/>
      <sheetName val="無対策"/>
      <sheetName val="DATA"/>
      <sheetName val="純資産法"/>
      <sheetName val="類似業種"/>
      <sheetName val="配当還元"/>
      <sheetName val="資産構成"/>
      <sheetName val="役員給与"/>
      <sheetName val="役員退職金"/>
      <sheetName val="従業員退職金"/>
      <sheetName val="金庫株"/>
      <sheetName val="資DES"/>
      <sheetName val="資3増資"/>
      <sheetName val="従持株会"/>
      <sheetName val="株価評価 (2)"/>
      <sheetName val="合併1"/>
      <sheetName val="合併2"/>
      <sheetName val="分割1"/>
      <sheetName val="分割2"/>
      <sheetName val="持株会社"/>
      <sheetName val="資本組成A"/>
      <sheetName val="会社再編"/>
      <sheetName val="精算課税"/>
      <sheetName val="贈与税"/>
      <sheetName val="連年贈与"/>
      <sheetName val="相続早見複数"/>
      <sheetName val="任意分割"/>
      <sheetName val="納税猶予"/>
      <sheetName val="総合税率表"/>
      <sheetName val="概略"/>
      <sheetName val="個人財産SIM"/>
      <sheetName val="グループ分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5">
          <cell r="H5">
            <v>110</v>
          </cell>
        </row>
      </sheetData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4" Type="http://schemas.openxmlformats.org/officeDocument/2006/relationships/ctrlProp" Target="../ctrlProps/ctrlProp3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W39"/>
  <sheetViews>
    <sheetView showGridLines="0" tabSelected="1" workbookViewId="0">
      <selection activeCell="E31" sqref="E31"/>
    </sheetView>
  </sheetViews>
  <sheetFormatPr baseColWidth="12" defaultColWidth="16.28515625" defaultRowHeight="20" customHeight="1" x14ac:dyDescent="0"/>
  <cols>
    <col min="1" max="1" width="7.42578125" customWidth="1"/>
    <col min="2" max="2" width="12.42578125" style="1" customWidth="1"/>
    <col min="3" max="3" width="16" style="1" customWidth="1"/>
    <col min="4" max="4" width="16.42578125" style="1" customWidth="1"/>
    <col min="5" max="5" width="10.5703125" style="1" customWidth="1"/>
    <col min="6" max="6" width="10.85546875" style="1" customWidth="1"/>
    <col min="7" max="7" width="9.140625" style="1" customWidth="1"/>
    <col min="8" max="8" width="15.140625" style="1" bestFit="1" customWidth="1"/>
    <col min="9" max="9" width="4.28515625" style="1" customWidth="1"/>
    <col min="10" max="10" width="11.42578125" style="393" customWidth="1"/>
    <col min="11" max="257" width="16.28515625" style="1" customWidth="1"/>
  </cols>
  <sheetData>
    <row r="1" spans="2:257" ht="20" customHeight="1" thickBot="1"/>
    <row r="2" spans="2:257" ht="22" customHeight="1">
      <c r="B2" s="410"/>
      <c r="C2" s="185" t="s">
        <v>207</v>
      </c>
      <c r="D2" s="186"/>
      <c r="E2" s="186"/>
      <c r="F2" s="186"/>
      <c r="G2" s="186"/>
      <c r="H2" s="186"/>
      <c r="I2" s="284"/>
    </row>
    <row r="3" spans="2:257" ht="15" customHeight="1">
      <c r="B3" s="187"/>
      <c r="C3" s="134"/>
      <c r="D3" s="188" t="s">
        <v>56</v>
      </c>
      <c r="E3" s="134"/>
      <c r="F3" s="134"/>
      <c r="G3" s="134"/>
      <c r="H3" s="134"/>
      <c r="I3" s="285"/>
    </row>
    <row r="4" spans="2:257" s="6" customFormat="1" ht="15" customHeight="1">
      <c r="B4" s="189"/>
      <c r="C4" s="190" t="s">
        <v>0</v>
      </c>
      <c r="D4" s="191" t="s">
        <v>1</v>
      </c>
      <c r="E4" s="192">
        <v>45</v>
      </c>
      <c r="F4" s="191" t="s">
        <v>2</v>
      </c>
      <c r="G4" s="192">
        <v>5</v>
      </c>
      <c r="H4" s="198" t="s">
        <v>154</v>
      </c>
      <c r="I4" s="286"/>
      <c r="J4" s="39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spans="2:257" s="6" customFormat="1" ht="15" customHeight="1">
      <c r="B5" s="189"/>
      <c r="C5" s="135"/>
      <c r="D5" s="191" t="s">
        <v>3</v>
      </c>
      <c r="E5" s="193"/>
      <c r="F5" s="194"/>
      <c r="G5" s="195">
        <v>100</v>
      </c>
      <c r="H5" s="198" t="s">
        <v>195</v>
      </c>
      <c r="I5" s="286"/>
      <c r="J5" s="39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spans="2:257" s="6" customFormat="1" ht="15" customHeight="1">
      <c r="B6" s="189"/>
      <c r="C6" s="135"/>
      <c r="D6" s="196"/>
      <c r="E6" s="135"/>
      <c r="F6" s="196"/>
      <c r="G6" s="135"/>
      <c r="H6" s="198"/>
      <c r="I6" s="286"/>
      <c r="J6" s="394"/>
      <c r="K6" s="5"/>
      <c r="L6" s="5"/>
      <c r="M6" s="5"/>
      <c r="N6" s="5"/>
      <c r="O6" s="5" t="s">
        <v>155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spans="2:257" s="6" customFormat="1" ht="15" customHeight="1">
      <c r="B7" s="189"/>
      <c r="C7" s="197" t="s">
        <v>156</v>
      </c>
      <c r="D7" s="191" t="s">
        <v>1</v>
      </c>
      <c r="E7" s="192">
        <v>40</v>
      </c>
      <c r="F7" s="191" t="s">
        <v>25</v>
      </c>
      <c r="G7" s="192">
        <v>0</v>
      </c>
      <c r="H7" s="200" t="s">
        <v>55</v>
      </c>
      <c r="I7" s="286"/>
      <c r="J7" s="394"/>
      <c r="K7" s="5"/>
      <c r="L7" s="5"/>
      <c r="M7" s="5"/>
      <c r="N7" s="5"/>
      <c r="O7" s="5" t="s">
        <v>156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spans="2:257" s="6" customFormat="1" ht="15" customHeight="1">
      <c r="B8" s="189"/>
      <c r="C8" s="197" t="s">
        <v>158</v>
      </c>
      <c r="D8" s="191" t="s">
        <v>1</v>
      </c>
      <c r="E8" s="192"/>
      <c r="F8" s="191" t="s">
        <v>25</v>
      </c>
      <c r="G8" s="192"/>
      <c r="H8" s="200" t="s">
        <v>55</v>
      </c>
      <c r="I8" s="286"/>
      <c r="J8" s="398" t="s">
        <v>278</v>
      </c>
      <c r="K8" s="408">
        <f>D17/D13</f>
        <v>0.52357500000000001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spans="2:257" s="6" customFormat="1" ht="15" customHeight="1">
      <c r="B9" s="189"/>
      <c r="D9" s="196" t="s">
        <v>39</v>
      </c>
      <c r="E9" s="199">
        <v>1</v>
      </c>
      <c r="F9" s="200" t="s">
        <v>40</v>
      </c>
      <c r="G9" s="198"/>
      <c r="H9" s="198"/>
      <c r="I9" s="286"/>
      <c r="J9" s="398" t="s">
        <v>279</v>
      </c>
      <c r="K9" s="408">
        <f>D15/D13</f>
        <v>2.8000000000000001E-2</v>
      </c>
      <c r="L9" s="5"/>
      <c r="M9" s="5"/>
      <c r="N9" s="5"/>
      <c r="O9" s="5" t="s">
        <v>157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pans="2:257" s="6" customFormat="1" ht="15" customHeight="1">
      <c r="B10" s="189"/>
      <c r="C10" s="201"/>
      <c r="D10" s="201"/>
      <c r="E10" s="201"/>
      <c r="F10" s="198"/>
      <c r="G10" s="198"/>
      <c r="H10" s="198"/>
      <c r="I10" s="286"/>
      <c r="J10" s="398" t="s">
        <v>280</v>
      </c>
      <c r="K10" s="408">
        <f>D19/D17</f>
        <v>0.38198920880485127</v>
      </c>
      <c r="L10" s="5"/>
      <c r="M10" s="5"/>
      <c r="N10" s="5"/>
      <c r="O10" s="5" t="s">
        <v>158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pans="2:257" s="6" customFormat="1" ht="15" customHeight="1">
      <c r="B11" s="189"/>
      <c r="C11" s="201"/>
      <c r="D11" s="188" t="s">
        <v>56</v>
      </c>
      <c r="E11" s="201"/>
      <c r="F11" s="198"/>
      <c r="G11" s="198"/>
      <c r="H11" s="198"/>
      <c r="I11" s="286"/>
      <c r="J11" s="39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pans="2:257" s="6" customFormat="1" ht="15" customHeight="1">
      <c r="B12" s="189"/>
      <c r="C12" s="202" t="s">
        <v>4</v>
      </c>
      <c r="D12" s="203">
        <v>30</v>
      </c>
      <c r="E12" s="201"/>
      <c r="F12" s="198"/>
      <c r="G12" s="198"/>
      <c r="H12" s="198"/>
      <c r="I12" s="286"/>
      <c r="J12" s="398" t="s">
        <v>281</v>
      </c>
      <c r="K12" s="389">
        <v>377797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spans="2:257" s="6" customFormat="1" ht="15" customHeight="1">
      <c r="B13" s="189"/>
      <c r="C13" s="202" t="s">
        <v>5</v>
      </c>
      <c r="D13" s="204">
        <v>1000000</v>
      </c>
      <c r="E13" s="198"/>
      <c r="F13" s="198"/>
      <c r="G13" s="198"/>
      <c r="H13" s="198"/>
      <c r="I13" s="286"/>
      <c r="J13" s="398" t="s">
        <v>283</v>
      </c>
      <c r="K13" s="390">
        <f>K12*K9</f>
        <v>10578.316000000001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spans="2:257" s="6" customFormat="1" ht="15" customHeight="1">
      <c r="B14" s="189"/>
      <c r="C14" s="202" t="s">
        <v>6</v>
      </c>
      <c r="D14" s="204">
        <v>30000</v>
      </c>
      <c r="E14" s="406">
        <f>D14/D13</f>
        <v>0.03</v>
      </c>
      <c r="F14" s="198"/>
      <c r="G14" s="198"/>
      <c r="H14" s="198"/>
      <c r="I14" s="286"/>
      <c r="J14" s="398" t="s">
        <v>284</v>
      </c>
      <c r="K14" s="390">
        <f>K12*K8</f>
        <v>197805.06427500001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spans="2:257" s="6" customFormat="1" ht="15" customHeight="1">
      <c r="B15" s="189"/>
      <c r="C15" s="391" t="s">
        <v>7</v>
      </c>
      <c r="D15" s="204">
        <v>28000</v>
      </c>
      <c r="E15" s="407">
        <f>D15/D13</f>
        <v>2.8000000000000001E-2</v>
      </c>
      <c r="F15" s="198"/>
      <c r="G15" s="198"/>
      <c r="H15" s="208"/>
      <c r="I15" s="287"/>
      <c r="J15" s="398" t="s">
        <v>282</v>
      </c>
      <c r="K15" s="390">
        <f>K14*K10</f>
        <v>75559.400000000009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spans="2:257" s="6" customFormat="1" ht="15" customHeight="1">
      <c r="B16" s="189"/>
      <c r="C16" s="201"/>
      <c r="D16" s="205"/>
      <c r="E16" s="198"/>
      <c r="F16" s="198"/>
      <c r="G16" s="198"/>
      <c r="H16" s="198"/>
      <c r="I16" s="286"/>
      <c r="J16" s="39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spans="2:257" s="6" customFormat="1" ht="15" customHeight="1">
      <c r="B17" s="189"/>
      <c r="C17" s="202" t="s">
        <v>8</v>
      </c>
      <c r="D17" s="204">
        <v>523575</v>
      </c>
      <c r="E17" s="198"/>
      <c r="F17" s="198"/>
      <c r="G17" s="418">
        <v>4.3</v>
      </c>
      <c r="H17" s="392" t="s">
        <v>64</v>
      </c>
      <c r="I17" s="287"/>
      <c r="J17" s="39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spans="2:257" s="6" customFormat="1" ht="15" customHeight="1">
      <c r="B18" s="189"/>
      <c r="C18" s="202" t="s">
        <v>9</v>
      </c>
      <c r="D18" s="204">
        <v>100000</v>
      </c>
      <c r="E18" s="198"/>
      <c r="F18" s="198"/>
      <c r="G18" s="418">
        <v>47</v>
      </c>
      <c r="H18" s="392" t="s">
        <v>66</v>
      </c>
      <c r="I18" s="287"/>
      <c r="J18" s="398" t="s">
        <v>285</v>
      </c>
      <c r="K18" s="395">
        <v>480000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spans="2:257" s="6" customFormat="1" ht="15" customHeight="1">
      <c r="B19" s="189"/>
      <c r="C19" s="391" t="s">
        <v>10</v>
      </c>
      <c r="D19" s="204">
        <v>200000</v>
      </c>
      <c r="E19" s="206">
        <f>D19/D17</f>
        <v>0.38198920880485127</v>
      </c>
      <c r="F19" s="198"/>
      <c r="G19" s="418">
        <v>299</v>
      </c>
      <c r="H19" s="392" t="s">
        <v>65</v>
      </c>
      <c r="I19" s="287"/>
      <c r="J19" s="398" t="s">
        <v>286</v>
      </c>
      <c r="K19" s="396">
        <v>250000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spans="2:257" s="6" customFormat="1" ht="15" customHeight="1">
      <c r="B20" s="189"/>
      <c r="C20" s="391" t="s">
        <v>11</v>
      </c>
      <c r="D20" s="204">
        <v>5000</v>
      </c>
      <c r="E20" s="207">
        <f>D20*1000/株価計算!F12</f>
        <v>25</v>
      </c>
      <c r="F20" s="198" t="s">
        <v>218</v>
      </c>
      <c r="G20" s="208"/>
      <c r="H20" s="208"/>
      <c r="I20" s="287"/>
      <c r="J20" s="398" t="s">
        <v>287</v>
      </c>
      <c r="K20" s="397">
        <v>-128000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spans="2:257" s="6" customFormat="1" ht="15" customHeight="1">
      <c r="B21" s="189"/>
      <c r="C21" s="198" t="s">
        <v>12</v>
      </c>
      <c r="D21" s="419" t="s">
        <v>297</v>
      </c>
      <c r="E21" s="209">
        <v>4</v>
      </c>
      <c r="F21" s="198" t="s">
        <v>68</v>
      </c>
      <c r="G21" s="150">
        <f>H34</f>
        <v>275</v>
      </c>
      <c r="H21" s="392" t="s">
        <v>63</v>
      </c>
      <c r="I21" s="287"/>
      <c r="J21" s="399" t="s">
        <v>288</v>
      </c>
      <c r="K21" s="389">
        <f>SUM(K18:K20)</f>
        <v>602000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spans="2:257" s="6" customFormat="1" ht="15" customHeight="1">
      <c r="B22" s="189"/>
      <c r="C22" s="198" t="s">
        <v>289</v>
      </c>
      <c r="D22" s="204">
        <v>10000</v>
      </c>
      <c r="E22" s="198"/>
      <c r="F22" s="198"/>
      <c r="G22" s="198"/>
      <c r="H22" s="201"/>
      <c r="I22" s="287"/>
      <c r="J22" s="39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spans="2:257" ht="15" customHeight="1">
      <c r="B23" s="187"/>
      <c r="C23" s="210"/>
      <c r="D23" s="210"/>
      <c r="E23" s="134"/>
      <c r="F23" s="134"/>
      <c r="G23" s="211">
        <f>株価計算!$L$38</f>
        <v>5</v>
      </c>
      <c r="H23" s="210" t="s">
        <v>67</v>
      </c>
      <c r="I23" s="285"/>
      <c r="L23" s="111"/>
    </row>
    <row r="24" spans="2:257" ht="15" customHeight="1">
      <c r="B24" s="187"/>
      <c r="C24" s="200" t="s">
        <v>52</v>
      </c>
      <c r="D24" s="212">
        <v>1</v>
      </c>
      <c r="E24" s="134"/>
      <c r="F24" s="134"/>
      <c r="G24" s="134"/>
      <c r="H24" s="134"/>
      <c r="I24" s="285"/>
      <c r="L24" s="111"/>
    </row>
    <row r="25" spans="2:257" ht="15" customHeight="1">
      <c r="B25" s="187"/>
      <c r="C25" s="136" t="s">
        <v>54</v>
      </c>
      <c r="D25" s="213" t="s">
        <v>140</v>
      </c>
      <c r="E25" s="134"/>
      <c r="F25" s="134"/>
      <c r="G25" s="134"/>
      <c r="H25" s="134"/>
      <c r="I25" s="285"/>
      <c r="L25" s="111"/>
    </row>
    <row r="26" spans="2:257" ht="15" customHeight="1" thickBot="1">
      <c r="B26" s="214"/>
      <c r="C26" s="215"/>
      <c r="D26" s="215"/>
      <c r="E26" s="215"/>
      <c r="F26" s="215"/>
      <c r="G26" s="215"/>
      <c r="H26" s="215"/>
      <c r="I26" s="288"/>
      <c r="L26" s="111"/>
    </row>
    <row r="27" spans="2:257" ht="20" customHeight="1">
      <c r="J27" s="400">
        <v>27093</v>
      </c>
      <c r="K27" s="1" t="s">
        <v>272</v>
      </c>
      <c r="L27" s="111"/>
    </row>
    <row r="28" spans="2:257" ht="20" customHeight="1">
      <c r="C28" s="117"/>
      <c r="D28" s="1" t="s">
        <v>160</v>
      </c>
      <c r="J28" s="401">
        <v>43770</v>
      </c>
      <c r="K28" s="1" t="s">
        <v>273</v>
      </c>
      <c r="L28" s="111"/>
    </row>
    <row r="29" spans="2:257" ht="20" customHeight="1">
      <c r="F29" s="1" t="s">
        <v>290</v>
      </c>
      <c r="G29" s="421">
        <v>5</v>
      </c>
      <c r="H29" s="404">
        <v>320</v>
      </c>
      <c r="J29" s="402">
        <f>DATEDIF(J27,J28,"Y")</f>
        <v>45</v>
      </c>
      <c r="K29" s="1" t="s">
        <v>274</v>
      </c>
    </row>
    <row r="30" spans="2:257" ht="20" customHeight="1">
      <c r="G30" s="421">
        <f>G29-1</f>
        <v>4</v>
      </c>
      <c r="H30" s="404">
        <v>328</v>
      </c>
    </row>
    <row r="31" spans="2:257" ht="20" customHeight="1">
      <c r="D31" s="204">
        <v>8764</v>
      </c>
      <c r="G31" s="421">
        <f>G30-1</f>
        <v>3</v>
      </c>
      <c r="H31" s="404">
        <v>330</v>
      </c>
      <c r="K31" s="420">
        <v>6</v>
      </c>
    </row>
    <row r="32" spans="2:257" ht="20" customHeight="1">
      <c r="D32" s="204">
        <v>1300</v>
      </c>
      <c r="G32" s="403" t="s">
        <v>291</v>
      </c>
      <c r="H32" s="404">
        <v>278</v>
      </c>
    </row>
    <row r="33" spans="7:13" ht="20" customHeight="1">
      <c r="G33" s="403" t="s">
        <v>292</v>
      </c>
      <c r="H33" s="404">
        <v>275</v>
      </c>
    </row>
    <row r="34" spans="7:13" ht="20" customHeight="1">
      <c r="H34" s="405">
        <f>MIN(H29:H33)</f>
        <v>275</v>
      </c>
    </row>
    <row r="39" spans="7:13" ht="20" customHeight="1">
      <c r="M39" s="1">
        <v>1</v>
      </c>
    </row>
  </sheetData>
  <phoneticPr fontId="3"/>
  <dataValidations count="2">
    <dataValidation type="list" allowBlank="1" showInputMessage="1" showErrorMessage="1" sqref="C7">
      <formula1>$O$6:$O$7</formula1>
    </dataValidation>
    <dataValidation type="list" allowBlank="1" showInputMessage="1" showErrorMessage="1" sqref="C8">
      <formula1>$O$9:$O$10</formula1>
    </dataValidation>
  </dataValidations>
  <pageMargins left="0.5" right="0.5" top="0.75" bottom="0.75" header="0.27777800000000002" footer="0.27777800000000002"/>
  <pageSetup orientation="portrait"/>
  <headerFooter>
    <oddFooter>&amp;C&amp;"ヒラギノ角ゴ ProN W3,Regular"&amp;12&amp;K000000&amp;P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Line="0" autoPict="0">
                <anchor moveWithCells="1">
                  <from>
                    <xdr:col>6</xdr:col>
                    <xdr:colOff>0</xdr:colOff>
                    <xdr:row>23</xdr:row>
                    <xdr:rowOff>12700</xdr:rowOff>
                  </from>
                  <to>
                    <xdr:col>7</xdr:col>
                    <xdr:colOff>571500</xdr:colOff>
                    <xdr:row>24</xdr:row>
                    <xdr:rowOff>76200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125" zoomScaleNormal="125" zoomScalePageLayoutView="125" workbookViewId="0">
      <selection activeCell="H23" sqref="H23"/>
    </sheetView>
  </sheetViews>
  <sheetFormatPr baseColWidth="12" defaultColWidth="13.7109375" defaultRowHeight="15" x14ac:dyDescent="0"/>
  <cols>
    <col min="1" max="1" width="4.28515625" customWidth="1"/>
    <col min="2" max="2" width="4.140625" customWidth="1"/>
    <col min="3" max="3" width="22.28515625" customWidth="1"/>
    <col min="4" max="4" width="7.28515625" customWidth="1"/>
    <col min="5" max="5" width="24.5703125" customWidth="1"/>
    <col min="6" max="6" width="10.28515625" customWidth="1"/>
    <col min="7" max="7" width="23.28515625" customWidth="1"/>
  </cols>
  <sheetData>
    <row r="1" spans="2:22" ht="16" thickBot="1"/>
    <row r="2" spans="2:22">
      <c r="B2" s="103"/>
      <c r="C2" s="104"/>
      <c r="D2" s="104"/>
      <c r="E2" s="104"/>
      <c r="F2" s="104"/>
      <c r="G2" s="105"/>
    </row>
    <row r="3" spans="2:22">
      <c r="B3" s="106"/>
      <c r="C3" s="139" t="s">
        <v>225</v>
      </c>
      <c r="D3" s="140" t="s">
        <v>149</v>
      </c>
      <c r="E3" s="141" t="s">
        <v>220</v>
      </c>
      <c r="F3" s="142">
        <f>入力!E5</f>
        <v>0</v>
      </c>
      <c r="G3" s="143"/>
    </row>
    <row r="4" spans="2:22">
      <c r="B4" s="106"/>
      <c r="C4" s="141"/>
      <c r="D4" s="112"/>
      <c r="E4" s="144" t="s">
        <v>221</v>
      </c>
      <c r="F4" s="138" t="str">
        <f>入力!C8</f>
        <v>後継者無</v>
      </c>
      <c r="G4" s="143"/>
    </row>
    <row r="5" spans="2:22">
      <c r="B5" s="106"/>
      <c r="C5" s="141"/>
      <c r="D5" s="112"/>
      <c r="E5" s="144" t="s">
        <v>132</v>
      </c>
      <c r="F5" s="144"/>
      <c r="G5" s="145"/>
    </row>
    <row r="6" spans="2:22">
      <c r="B6" s="106"/>
      <c r="C6" s="141"/>
      <c r="D6" s="112"/>
      <c r="E6" s="141"/>
      <c r="F6" s="144"/>
      <c r="G6" s="145"/>
    </row>
    <row r="7" spans="2:22">
      <c r="B7" s="106"/>
      <c r="C7" s="149" t="s">
        <v>24</v>
      </c>
      <c r="D7" s="140" t="s">
        <v>149</v>
      </c>
      <c r="E7" s="144" t="s">
        <v>139</v>
      </c>
      <c r="F7" s="138" t="str">
        <f>入力!C7</f>
        <v>配偶者無</v>
      </c>
      <c r="G7" s="143"/>
      <c r="V7" s="110" t="s">
        <v>148</v>
      </c>
    </row>
    <row r="8" spans="2:22" s="25" customFormat="1">
      <c r="B8" s="106"/>
      <c r="C8" s="23"/>
      <c r="D8" s="115"/>
      <c r="E8" s="144"/>
      <c r="F8" s="150">
        <f>入力!G7</f>
        <v>0</v>
      </c>
      <c r="G8" s="151" t="s">
        <v>206</v>
      </c>
      <c r="V8" t="s">
        <v>149</v>
      </c>
    </row>
    <row r="9" spans="2:22" s="25" customFormat="1">
      <c r="B9" s="113"/>
      <c r="C9" s="2"/>
      <c r="D9" s="2"/>
      <c r="E9" s="2"/>
      <c r="F9" s="2"/>
      <c r="G9" s="272"/>
      <c r="V9" t="s">
        <v>26</v>
      </c>
    </row>
    <row r="10" spans="2:22">
      <c r="B10" s="113"/>
      <c r="C10" s="139" t="s">
        <v>20</v>
      </c>
      <c r="D10" s="140" t="s">
        <v>149</v>
      </c>
      <c r="E10" s="144" t="s">
        <v>208</v>
      </c>
      <c r="F10" s="146">
        <f>入力!D19</f>
        <v>200000</v>
      </c>
      <c r="G10" s="145" t="s">
        <v>59</v>
      </c>
      <c r="V10" t="s">
        <v>133</v>
      </c>
    </row>
    <row r="11" spans="2:22">
      <c r="B11" s="106"/>
      <c r="C11" s="147"/>
      <c r="D11" s="114"/>
      <c r="E11" s="144" t="s">
        <v>211</v>
      </c>
      <c r="F11" s="148">
        <f>入力!D18</f>
        <v>100000</v>
      </c>
      <c r="G11" s="145" t="s">
        <v>212</v>
      </c>
      <c r="V11">
        <v>1</v>
      </c>
    </row>
    <row r="12" spans="2:22" ht="13.5" customHeight="1">
      <c r="B12" s="106"/>
      <c r="C12" s="147"/>
      <c r="D12" s="114"/>
      <c r="E12" s="144" t="s">
        <v>62</v>
      </c>
      <c r="F12" s="148">
        <f>70-入力!E4</f>
        <v>25</v>
      </c>
      <c r="G12" s="145" t="s">
        <v>55</v>
      </c>
      <c r="V12" s="110" t="s">
        <v>150</v>
      </c>
    </row>
    <row r="13" spans="2:22">
      <c r="B13" s="106"/>
      <c r="C13" s="269"/>
      <c r="D13" s="269"/>
      <c r="E13" s="270" t="s">
        <v>222</v>
      </c>
      <c r="F13" s="160">
        <f>入力!G5*(ニーズ仮説!F12+入力!G4)*3</f>
        <v>9000</v>
      </c>
      <c r="G13" s="271"/>
      <c r="V13" s="28" t="s">
        <v>149</v>
      </c>
    </row>
    <row r="14" spans="2:22">
      <c r="B14" s="106"/>
      <c r="C14" s="141"/>
      <c r="D14" s="112"/>
      <c r="E14" s="141"/>
      <c r="F14" s="147"/>
      <c r="G14" s="143"/>
      <c r="V14" s="28" t="s">
        <v>26</v>
      </c>
    </row>
    <row r="15" spans="2:22" s="25" customFormat="1">
      <c r="B15" s="106"/>
      <c r="C15" s="149" t="s">
        <v>223</v>
      </c>
      <c r="D15" s="140" t="s">
        <v>26</v>
      </c>
      <c r="E15" s="141" t="s">
        <v>60</v>
      </c>
      <c r="F15" s="152">
        <f>株価計算!G22</f>
        <v>155595.83333333331</v>
      </c>
      <c r="G15" s="145" t="s">
        <v>59</v>
      </c>
      <c r="V15" s="28" t="s">
        <v>133</v>
      </c>
    </row>
    <row r="16" spans="2:22" s="25" customFormat="1">
      <c r="B16" s="113"/>
      <c r="C16" s="23"/>
      <c r="D16" s="116"/>
      <c r="E16" s="23" t="s">
        <v>57</v>
      </c>
      <c r="F16" s="152">
        <f>資産税!I14*10</f>
        <v>10039.374999999998</v>
      </c>
      <c r="G16" s="145" t="s">
        <v>202</v>
      </c>
      <c r="V16" s="28"/>
    </row>
    <row r="17" spans="2:22" s="25" customFormat="1">
      <c r="B17" s="113"/>
      <c r="C17" s="23"/>
      <c r="D17" s="116"/>
      <c r="E17" s="147"/>
      <c r="F17" s="153">
        <f>資産税!I20*10</f>
        <v>6359.5833333333321</v>
      </c>
      <c r="G17" s="145" t="s">
        <v>61</v>
      </c>
      <c r="V17" s="110" t="s">
        <v>151</v>
      </c>
    </row>
    <row r="18" spans="2:22" s="25" customFormat="1">
      <c r="B18" s="113"/>
      <c r="C18" s="23"/>
      <c r="D18" s="116"/>
      <c r="E18" s="147"/>
      <c r="F18" s="154">
        <f>資産税!I27*10</f>
        <v>30838.333333333328</v>
      </c>
      <c r="G18" s="155" t="s">
        <v>203</v>
      </c>
      <c r="V18" s="28" t="s">
        <v>149</v>
      </c>
    </row>
    <row r="19" spans="2:22">
      <c r="B19" s="113"/>
      <c r="C19" s="23"/>
      <c r="D19" s="116"/>
      <c r="E19" s="23" t="s">
        <v>58</v>
      </c>
      <c r="F19" s="156">
        <f>資産税!G4*10</f>
        <v>78572.708333333343</v>
      </c>
      <c r="G19" s="145" t="s">
        <v>59</v>
      </c>
      <c r="V19" s="28" t="s">
        <v>26</v>
      </c>
    </row>
    <row r="20" spans="2:22">
      <c r="B20" s="106"/>
      <c r="C20" s="141"/>
      <c r="D20" s="112"/>
      <c r="E20" s="141" t="s">
        <v>159</v>
      </c>
      <c r="F20" s="157">
        <f>入力!D24</f>
        <v>1</v>
      </c>
      <c r="G20" s="143"/>
      <c r="V20" s="28" t="s">
        <v>133</v>
      </c>
    </row>
    <row r="21" spans="2:22">
      <c r="B21" s="106"/>
      <c r="C21" s="141"/>
      <c r="D21" s="141"/>
      <c r="E21" s="158" t="s">
        <v>153</v>
      </c>
      <c r="F21" s="141"/>
      <c r="G21" s="143" t="s">
        <v>210</v>
      </c>
      <c r="V21" s="28"/>
    </row>
    <row r="22" spans="2:22">
      <c r="B22" s="106"/>
      <c r="C22" s="141"/>
      <c r="D22" s="112"/>
      <c r="E22" s="141"/>
      <c r="F22" s="141"/>
      <c r="G22" s="143"/>
      <c r="V22" s="110" t="s">
        <v>152</v>
      </c>
    </row>
    <row r="23" spans="2:22">
      <c r="B23" s="106"/>
      <c r="C23" s="149" t="s">
        <v>51</v>
      </c>
      <c r="D23" s="140" t="s">
        <v>26</v>
      </c>
      <c r="E23" s="144" t="s">
        <v>54</v>
      </c>
      <c r="F23" s="159" t="s">
        <v>204</v>
      </c>
      <c r="G23" s="143"/>
      <c r="V23" s="28" t="s">
        <v>149</v>
      </c>
    </row>
    <row r="24" spans="2:22">
      <c r="B24" s="106"/>
      <c r="C24" s="141"/>
      <c r="D24" s="141"/>
      <c r="E24" s="144" t="s">
        <v>205</v>
      </c>
      <c r="F24" s="159" t="s">
        <v>204</v>
      </c>
      <c r="G24" s="143"/>
      <c r="V24" s="28" t="s">
        <v>26</v>
      </c>
    </row>
    <row r="25" spans="2:22" ht="16" thickBot="1">
      <c r="B25" s="107"/>
      <c r="C25" s="108"/>
      <c r="D25" s="108"/>
      <c r="E25" s="108"/>
      <c r="F25" s="108"/>
      <c r="G25" s="109"/>
      <c r="V25" s="28" t="s">
        <v>133</v>
      </c>
    </row>
    <row r="26" spans="2:22">
      <c r="V26" s="28"/>
    </row>
    <row r="27" spans="2:22">
      <c r="D27" s="1"/>
      <c r="V27" s="110" t="s">
        <v>53</v>
      </c>
    </row>
    <row r="28" spans="2:22">
      <c r="V28" s="28" t="s">
        <v>149</v>
      </c>
    </row>
    <row r="29" spans="2:22">
      <c r="V29" s="28" t="s">
        <v>26</v>
      </c>
    </row>
    <row r="30" spans="2:22">
      <c r="V30" s="28" t="s">
        <v>133</v>
      </c>
    </row>
  </sheetData>
  <phoneticPr fontId="3"/>
  <conditionalFormatting sqref="D15">
    <cfRule type="containsText" dxfId="24" priority="21" operator="containsText" text="低い">
      <formula>NOT(ISERROR(SEARCH("低い",D15)))</formula>
    </cfRule>
    <cfRule type="containsText" dxfId="23" priority="22" operator="containsText" text="中">
      <formula>NOT(ISERROR(SEARCH("中",D15)))</formula>
    </cfRule>
    <cfRule type="containsText" dxfId="22" priority="23" operator="containsText" text="高い">
      <formula>NOT(ISERROR(SEARCH("高い",D15)))</formula>
    </cfRule>
    <cfRule type="containsText" dxfId="21" priority="24" operator="containsText" text="高い">
      <formula>NOT(ISERROR(SEARCH("高い",D15)))</formula>
    </cfRule>
    <cfRule type="containsText" dxfId="20" priority="25" operator="containsText" text="高い">
      <formula>NOT(ISERROR(SEARCH("高い",D15)))</formula>
    </cfRule>
  </conditionalFormatting>
  <conditionalFormatting sqref="D23">
    <cfRule type="containsText" dxfId="19" priority="16" operator="containsText" text="低い">
      <formula>NOT(ISERROR(SEARCH("低い",D23)))</formula>
    </cfRule>
    <cfRule type="containsText" dxfId="18" priority="17" operator="containsText" text="中">
      <formula>NOT(ISERROR(SEARCH("中",D23)))</formula>
    </cfRule>
    <cfRule type="containsText" dxfId="17" priority="18" operator="containsText" text="高い">
      <formula>NOT(ISERROR(SEARCH("高い",D23)))</formula>
    </cfRule>
    <cfRule type="containsText" dxfId="16" priority="19" operator="containsText" text="高い">
      <formula>NOT(ISERROR(SEARCH("高い",D23)))</formula>
    </cfRule>
    <cfRule type="containsText" dxfId="15" priority="20" operator="containsText" text="高い">
      <formula>NOT(ISERROR(SEARCH("高い",D23)))</formula>
    </cfRule>
  </conditionalFormatting>
  <conditionalFormatting sqref="D3">
    <cfRule type="containsText" dxfId="14" priority="11" operator="containsText" text="低い">
      <formula>NOT(ISERROR(SEARCH("低い",D3)))</formula>
    </cfRule>
    <cfRule type="containsText" dxfId="13" priority="12" operator="containsText" text="中">
      <formula>NOT(ISERROR(SEARCH("中",D3)))</formula>
    </cfRule>
    <cfRule type="containsText" dxfId="12" priority="13" operator="containsText" text="高い">
      <formula>NOT(ISERROR(SEARCH("高い",D3)))</formula>
    </cfRule>
    <cfRule type="containsText" dxfId="11" priority="14" operator="containsText" text="高い">
      <formula>NOT(ISERROR(SEARCH("高い",D3)))</formula>
    </cfRule>
    <cfRule type="containsText" dxfId="10" priority="15" operator="containsText" text="高い">
      <formula>NOT(ISERROR(SEARCH("高い",D3)))</formula>
    </cfRule>
  </conditionalFormatting>
  <conditionalFormatting sqref="D7">
    <cfRule type="containsText" dxfId="9" priority="6" operator="containsText" text="低い">
      <formula>NOT(ISERROR(SEARCH("低い",D7)))</formula>
    </cfRule>
    <cfRule type="containsText" dxfId="8" priority="7" operator="containsText" text="中">
      <formula>NOT(ISERROR(SEARCH("中",D7)))</formula>
    </cfRule>
    <cfRule type="containsText" dxfId="7" priority="8" operator="containsText" text="高い">
      <formula>NOT(ISERROR(SEARCH("高い",D7)))</formula>
    </cfRule>
    <cfRule type="containsText" dxfId="6" priority="9" operator="containsText" text="高い">
      <formula>NOT(ISERROR(SEARCH("高い",D7)))</formula>
    </cfRule>
    <cfRule type="containsText" dxfId="5" priority="10" operator="containsText" text="高い">
      <formula>NOT(ISERROR(SEARCH("高い",D7)))</formula>
    </cfRule>
  </conditionalFormatting>
  <conditionalFormatting sqref="D10">
    <cfRule type="containsText" dxfId="4" priority="1" operator="containsText" text="低い">
      <formula>NOT(ISERROR(SEARCH("低い",D10)))</formula>
    </cfRule>
    <cfRule type="containsText" dxfId="3" priority="2" operator="containsText" text="中">
      <formula>NOT(ISERROR(SEARCH("中",D10)))</formula>
    </cfRule>
    <cfRule type="containsText" dxfId="2" priority="3" operator="containsText" text="高い">
      <formula>NOT(ISERROR(SEARCH("高い",D10)))</formula>
    </cfRule>
    <cfRule type="containsText" dxfId="1" priority="4" operator="containsText" text="高い">
      <formula>NOT(ISERROR(SEARCH("高い",D10)))</formula>
    </cfRule>
    <cfRule type="containsText" dxfId="0" priority="5" operator="containsText" text="高い">
      <formula>NOT(ISERROR(SEARCH("高い",D10)))</formula>
    </cfRule>
  </conditionalFormatting>
  <dataValidations count="5">
    <dataValidation type="list" allowBlank="1" showInputMessage="1" showErrorMessage="1" sqref="D3">
      <formula1>$V$8:$V$10</formula1>
    </dataValidation>
    <dataValidation type="list" allowBlank="1" showInputMessage="1" showErrorMessage="1" sqref="D23">
      <formula1>$V$28:$V$30</formula1>
    </dataValidation>
    <dataValidation type="list" allowBlank="1" showInputMessage="1" showErrorMessage="1" sqref="D10">
      <formula1>$V$13:$V$15</formula1>
    </dataValidation>
    <dataValidation type="list" allowBlank="1" showInputMessage="1" showErrorMessage="1" sqref="D7">
      <formula1>$V$18:$V$20</formula1>
    </dataValidation>
    <dataValidation type="list" allowBlank="1" showInputMessage="1" showErrorMessage="1" sqref="D15">
      <formula1>$V$23:$V$25</formula1>
    </dataValidation>
  </dataValidations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zoomScale="125" zoomScaleNormal="125" zoomScalePageLayoutView="125" workbookViewId="0">
      <selection activeCell="J14" sqref="J14"/>
    </sheetView>
  </sheetViews>
  <sheetFormatPr baseColWidth="12" defaultColWidth="13.7109375" defaultRowHeight="15" x14ac:dyDescent="0"/>
  <cols>
    <col min="2" max="2" width="3" customWidth="1"/>
    <col min="3" max="3" width="3.42578125" style="28" customWidth="1"/>
    <col min="4" max="4" width="18.42578125" style="28" customWidth="1"/>
    <col min="5" max="7" width="13.7109375" style="27"/>
    <col min="8" max="8" width="16.85546875" style="27" customWidth="1"/>
    <col min="9" max="11" width="13.7109375" style="28"/>
  </cols>
  <sheetData>
    <row r="1" spans="2:8" ht="16" thickBot="1"/>
    <row r="2" spans="2:8">
      <c r="B2" s="103"/>
      <c r="C2" s="273"/>
      <c r="D2" s="273"/>
      <c r="E2" s="274"/>
      <c r="F2" s="274"/>
      <c r="G2" s="274"/>
      <c r="H2" s="275"/>
    </row>
    <row r="3" spans="2:8">
      <c r="B3" s="106"/>
      <c r="C3" s="276" t="s">
        <v>225</v>
      </c>
      <c r="D3" s="276"/>
      <c r="E3" s="277" t="s">
        <v>177</v>
      </c>
      <c r="F3" s="278"/>
      <c r="G3" s="278"/>
      <c r="H3" s="279"/>
    </row>
    <row r="4" spans="2:8">
      <c r="B4" s="106"/>
      <c r="C4" s="280"/>
      <c r="D4" s="280" t="s">
        <v>179</v>
      </c>
      <c r="E4" s="280" t="s">
        <v>178</v>
      </c>
      <c r="F4" s="278"/>
      <c r="G4" s="278"/>
      <c r="H4" s="279"/>
    </row>
    <row r="5" spans="2:8">
      <c r="B5" s="106"/>
      <c r="C5" s="280"/>
      <c r="D5" s="280"/>
      <c r="E5" s="278" t="s">
        <v>180</v>
      </c>
      <c r="F5" s="278"/>
      <c r="G5" s="278"/>
      <c r="H5" s="279"/>
    </row>
    <row r="6" spans="2:8">
      <c r="B6" s="106"/>
      <c r="C6" s="280"/>
      <c r="D6" s="280" t="s">
        <v>181</v>
      </c>
      <c r="E6" s="278" t="s">
        <v>182</v>
      </c>
      <c r="F6" s="278"/>
      <c r="G6" s="278"/>
      <c r="H6" s="279"/>
    </row>
    <row r="7" spans="2:8">
      <c r="B7" s="106"/>
      <c r="C7" s="280"/>
      <c r="D7" s="280" t="s">
        <v>227</v>
      </c>
      <c r="E7" s="278" t="s">
        <v>183</v>
      </c>
      <c r="F7" s="278"/>
      <c r="G7" s="278"/>
      <c r="H7" s="279"/>
    </row>
    <row r="8" spans="2:8">
      <c r="B8" s="106"/>
      <c r="C8" s="280"/>
      <c r="D8" s="280"/>
      <c r="E8" s="278"/>
      <c r="F8" s="278"/>
      <c r="G8" s="278"/>
      <c r="H8" s="279"/>
    </row>
    <row r="9" spans="2:8">
      <c r="B9" s="106"/>
      <c r="C9" s="276" t="s">
        <v>151</v>
      </c>
      <c r="D9" s="276"/>
      <c r="E9" s="281" t="s">
        <v>224</v>
      </c>
      <c r="F9" s="278"/>
      <c r="G9" s="278"/>
      <c r="H9" s="279"/>
    </row>
    <row r="10" spans="2:8">
      <c r="B10" s="106"/>
      <c r="C10" s="280"/>
      <c r="D10" s="278" t="s">
        <v>189</v>
      </c>
      <c r="E10" s="278" t="s">
        <v>190</v>
      </c>
      <c r="F10" s="278"/>
      <c r="G10" s="278"/>
      <c r="H10" s="279"/>
    </row>
    <row r="11" spans="2:8">
      <c r="B11" s="106"/>
      <c r="C11" s="280"/>
      <c r="D11" s="280"/>
      <c r="E11" s="278" t="s">
        <v>191</v>
      </c>
      <c r="F11" s="278"/>
      <c r="G11" s="278"/>
      <c r="H11" s="279"/>
    </row>
    <row r="12" spans="2:8">
      <c r="B12" s="106"/>
      <c r="C12" s="280"/>
      <c r="D12" s="280"/>
      <c r="E12" s="278"/>
      <c r="F12" s="278"/>
      <c r="G12" s="278"/>
      <c r="H12" s="279"/>
    </row>
    <row r="13" spans="2:8">
      <c r="B13" s="106"/>
      <c r="C13" s="276" t="s">
        <v>150</v>
      </c>
      <c r="D13" s="276"/>
      <c r="E13" s="281" t="s">
        <v>231</v>
      </c>
      <c r="F13" s="278"/>
      <c r="G13" s="278"/>
      <c r="H13" s="279"/>
    </row>
    <row r="14" spans="2:8">
      <c r="B14" s="106"/>
      <c r="C14" s="280"/>
      <c r="D14" s="28" t="s">
        <v>228</v>
      </c>
      <c r="E14" s="280" t="s">
        <v>192</v>
      </c>
      <c r="F14" s="278"/>
      <c r="G14" s="278"/>
      <c r="H14" s="279"/>
    </row>
    <row r="15" spans="2:8">
      <c r="B15" s="106"/>
      <c r="C15" s="280"/>
      <c r="D15" s="28" t="s">
        <v>229</v>
      </c>
      <c r="E15" s="280" t="s">
        <v>193</v>
      </c>
      <c r="F15" s="278"/>
      <c r="G15" s="278"/>
      <c r="H15" s="279"/>
    </row>
    <row r="16" spans="2:8">
      <c r="B16" s="106"/>
      <c r="C16" s="280"/>
      <c r="D16" s="28" t="s">
        <v>230</v>
      </c>
      <c r="E16" s="280" t="s">
        <v>194</v>
      </c>
      <c r="F16" s="278"/>
      <c r="G16" s="278"/>
      <c r="H16" s="279"/>
    </row>
    <row r="17" spans="2:8">
      <c r="B17" s="106"/>
      <c r="C17" s="280"/>
      <c r="D17" s="280"/>
      <c r="E17" s="278"/>
      <c r="F17" s="278"/>
      <c r="G17" s="278"/>
      <c r="H17" s="279"/>
    </row>
    <row r="18" spans="2:8">
      <c r="B18" s="106"/>
      <c r="C18" s="276" t="s">
        <v>165</v>
      </c>
      <c r="D18" s="276"/>
      <c r="E18" s="281" t="s">
        <v>176</v>
      </c>
      <c r="F18" s="278"/>
      <c r="G18" s="278"/>
      <c r="H18" s="279"/>
    </row>
    <row r="19" spans="2:8">
      <c r="B19" s="106"/>
      <c r="C19" s="280"/>
      <c r="D19" s="280" t="s">
        <v>169</v>
      </c>
      <c r="E19" s="278" t="s">
        <v>171</v>
      </c>
      <c r="F19" s="278"/>
      <c r="G19" s="278" t="s">
        <v>172</v>
      </c>
      <c r="H19" s="279"/>
    </row>
    <row r="20" spans="2:8">
      <c r="B20" s="106"/>
      <c r="C20" s="280"/>
      <c r="D20" s="280" t="s">
        <v>166</v>
      </c>
      <c r="E20" s="278" t="s">
        <v>167</v>
      </c>
      <c r="F20" s="278"/>
      <c r="G20" s="278" t="s">
        <v>168</v>
      </c>
      <c r="H20" s="279"/>
    </row>
    <row r="21" spans="2:8">
      <c r="B21" s="106"/>
      <c r="C21" s="280"/>
      <c r="D21" s="280" t="s">
        <v>173</v>
      </c>
      <c r="E21" s="278" t="s">
        <v>174</v>
      </c>
      <c r="F21" s="278"/>
      <c r="G21" s="278" t="s">
        <v>175</v>
      </c>
      <c r="H21" s="279"/>
    </row>
    <row r="22" spans="2:8">
      <c r="B22" s="106"/>
      <c r="C22" s="280"/>
      <c r="D22" s="280"/>
      <c r="E22" s="278"/>
      <c r="F22" s="278"/>
      <c r="G22" s="278"/>
      <c r="H22" s="279"/>
    </row>
    <row r="23" spans="2:8">
      <c r="B23" s="106"/>
      <c r="C23" s="276" t="s">
        <v>51</v>
      </c>
      <c r="D23" s="276"/>
      <c r="E23" s="281" t="s">
        <v>184</v>
      </c>
      <c r="F23" s="281"/>
      <c r="G23" s="278"/>
      <c r="H23" s="279"/>
    </row>
    <row r="24" spans="2:8">
      <c r="B24" s="106"/>
      <c r="C24" s="280"/>
      <c r="D24" s="280" t="s">
        <v>185</v>
      </c>
      <c r="E24" s="278" t="s">
        <v>186</v>
      </c>
      <c r="F24" s="278"/>
      <c r="G24" s="278"/>
      <c r="H24" s="279"/>
    </row>
    <row r="25" spans="2:8">
      <c r="B25" s="106"/>
      <c r="C25" s="280"/>
      <c r="D25" s="280" t="s">
        <v>187</v>
      </c>
      <c r="E25" s="278" t="s">
        <v>188</v>
      </c>
      <c r="F25" s="278"/>
      <c r="G25" s="278"/>
      <c r="H25" s="279"/>
    </row>
    <row r="26" spans="2:8" ht="16" thickBot="1">
      <c r="B26" s="107"/>
      <c r="C26" s="282"/>
      <c r="D26" s="282"/>
      <c r="E26" s="282"/>
      <c r="F26" s="108"/>
      <c r="G26" s="108"/>
      <c r="H26" s="283"/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8"/>
  <sheetViews>
    <sheetView showGridLines="0" workbookViewId="0">
      <selection activeCell="D35" sqref="D35"/>
    </sheetView>
  </sheetViews>
  <sheetFormatPr baseColWidth="12" defaultColWidth="13.7109375" defaultRowHeight="15" x14ac:dyDescent="0"/>
  <cols>
    <col min="3" max="3" width="15.85546875" customWidth="1"/>
    <col min="9" max="9" width="10.5703125" customWidth="1"/>
    <col min="10" max="10" width="11.28515625" customWidth="1"/>
    <col min="11" max="11" width="5" customWidth="1"/>
    <col min="13" max="13" width="9.7109375" customWidth="1"/>
    <col min="14" max="14" width="10.7109375" customWidth="1"/>
    <col min="15" max="15" width="11.140625" customWidth="1"/>
    <col min="16" max="16" width="11.28515625" customWidth="1"/>
    <col min="17" max="17" width="12.42578125" customWidth="1"/>
    <col min="18" max="18" width="7.85546875" customWidth="1"/>
    <col min="19" max="19" width="6.140625" customWidth="1"/>
    <col min="20" max="20" width="2.85546875" customWidth="1"/>
  </cols>
  <sheetData>
    <row r="1" spans="1:22">
      <c r="B1" s="269"/>
      <c r="C1" s="269"/>
      <c r="D1" s="269"/>
      <c r="E1" s="269"/>
      <c r="F1" s="269"/>
      <c r="G1" s="269"/>
      <c r="H1" s="269"/>
    </row>
    <row r="2" spans="1:22" ht="16" thickBot="1">
      <c r="A2" s="269"/>
      <c r="B2" s="269"/>
      <c r="C2" s="269"/>
      <c r="D2" s="269"/>
      <c r="E2" s="269"/>
      <c r="F2" s="269"/>
      <c r="G2" s="269"/>
      <c r="H2" s="269"/>
    </row>
    <row r="3" spans="1:22" ht="17">
      <c r="A3" s="269"/>
      <c r="B3" s="413" t="s">
        <v>147</v>
      </c>
      <c r="C3" s="414"/>
      <c r="D3" s="414"/>
      <c r="E3" s="414"/>
      <c r="F3" s="414"/>
      <c r="G3" s="414"/>
      <c r="H3" s="415"/>
      <c r="I3" s="29" t="s">
        <v>69</v>
      </c>
      <c r="J3" s="30" t="s">
        <v>70</v>
      </c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2" ht="17">
      <c r="A4" s="269"/>
      <c r="B4" s="161"/>
      <c r="C4" s="131"/>
      <c r="D4" s="131"/>
      <c r="E4" s="162" t="s">
        <v>196</v>
      </c>
      <c r="F4" s="162" t="s">
        <v>198</v>
      </c>
      <c r="G4" s="131"/>
      <c r="H4" s="133"/>
      <c r="I4" s="29" t="s">
        <v>71</v>
      </c>
      <c r="J4" s="31" t="s">
        <v>72</v>
      </c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2" ht="17">
      <c r="A5" s="269"/>
      <c r="B5" s="161"/>
      <c r="C5" s="131"/>
      <c r="D5" s="388" t="s">
        <v>276</v>
      </c>
      <c r="E5" s="164" t="s">
        <v>200</v>
      </c>
      <c r="F5" s="165" t="s">
        <v>199</v>
      </c>
      <c r="G5" s="163" t="s">
        <v>197</v>
      </c>
      <c r="H5" s="133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2" ht="18" thickBot="1">
      <c r="A6" s="269"/>
      <c r="B6" s="161"/>
      <c r="C6" s="131" t="s">
        <v>14</v>
      </c>
      <c r="D6" s="166">
        <f>入力!G17</f>
        <v>4.3</v>
      </c>
      <c r="E6" s="167">
        <f>F6*1000/$F$12</f>
        <v>25</v>
      </c>
      <c r="F6" s="132">
        <f>入力!D20</f>
        <v>5000</v>
      </c>
      <c r="G6" s="168">
        <f>ROUND(E6/D6,2)</f>
        <v>5.81</v>
      </c>
      <c r="H6" s="133"/>
      <c r="I6" s="30"/>
      <c r="J6" s="32" t="s">
        <v>73</v>
      </c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2" ht="17">
      <c r="A7" s="269"/>
      <c r="B7" s="161"/>
      <c r="C7" s="131" t="s">
        <v>13</v>
      </c>
      <c r="D7" s="166">
        <f>入力!G18</f>
        <v>47</v>
      </c>
      <c r="E7" s="167">
        <f>F7*1000/$F$12</f>
        <v>140</v>
      </c>
      <c r="F7" s="169">
        <f>IF(入力!D15&lt;=0,0,入力!D15)</f>
        <v>28000</v>
      </c>
      <c r="G7" s="168">
        <f>ROUND(E7/D7,2)</f>
        <v>2.98</v>
      </c>
      <c r="H7" s="133"/>
      <c r="I7" s="30"/>
      <c r="J7" s="423" t="s">
        <v>74</v>
      </c>
      <c r="K7" s="424"/>
      <c r="L7" s="33" t="s">
        <v>75</v>
      </c>
      <c r="M7" s="34" t="s">
        <v>76</v>
      </c>
      <c r="N7" s="35" t="s">
        <v>77</v>
      </c>
      <c r="O7" s="35" t="s">
        <v>78</v>
      </c>
      <c r="P7" s="35" t="s">
        <v>79</v>
      </c>
      <c r="Q7" s="36" t="s">
        <v>80</v>
      </c>
      <c r="R7" s="37" t="s">
        <v>81</v>
      </c>
      <c r="S7" s="425" t="s">
        <v>74</v>
      </c>
      <c r="T7" s="426"/>
      <c r="V7" s="110" t="s">
        <v>148</v>
      </c>
    </row>
    <row r="8" spans="1:22" ht="17">
      <c r="A8" s="269"/>
      <c r="B8" s="161"/>
      <c r="C8" s="131" t="s">
        <v>15</v>
      </c>
      <c r="D8" s="166">
        <f>入力!G19</f>
        <v>299</v>
      </c>
      <c r="E8" s="167">
        <f>F8*1000/$F$12</f>
        <v>1000</v>
      </c>
      <c r="F8" s="169">
        <f>入力!D19</f>
        <v>200000</v>
      </c>
      <c r="G8" s="168">
        <f>ROUND(E8/D8,2)</f>
        <v>3.34</v>
      </c>
      <c r="H8" s="133"/>
      <c r="I8" s="30"/>
      <c r="J8" s="38" t="s">
        <v>82</v>
      </c>
      <c r="K8" s="39"/>
      <c r="L8" s="40" t="s">
        <v>83</v>
      </c>
      <c r="M8" s="41" t="s">
        <v>84</v>
      </c>
      <c r="N8" s="42"/>
      <c r="O8" s="42"/>
      <c r="P8" s="42"/>
      <c r="Q8" s="42"/>
      <c r="R8" s="43" t="s">
        <v>82</v>
      </c>
      <c r="S8" s="44" t="s">
        <v>82</v>
      </c>
      <c r="T8" s="45"/>
      <c r="V8" t="s">
        <v>149</v>
      </c>
    </row>
    <row r="9" spans="1:22" ht="17">
      <c r="A9" s="269"/>
      <c r="B9" s="161"/>
      <c r="C9" s="131" t="s">
        <v>16</v>
      </c>
      <c r="D9" s="170">
        <f>入力!G21</f>
        <v>275</v>
      </c>
      <c r="E9" s="131"/>
      <c r="F9" s="131"/>
      <c r="G9" s="171">
        <f>SUM(G6:G8)/3</f>
        <v>4.043333333333333</v>
      </c>
      <c r="H9" s="133"/>
      <c r="I9" s="30"/>
      <c r="J9" s="46" t="s">
        <v>85</v>
      </c>
      <c r="K9" s="47" t="s">
        <v>86</v>
      </c>
      <c r="L9" s="48" t="s">
        <v>87</v>
      </c>
      <c r="M9" s="49" t="s">
        <v>84</v>
      </c>
      <c r="N9" s="42"/>
      <c r="O9" s="42"/>
      <c r="P9" s="42"/>
      <c r="Q9" s="50" t="s">
        <v>88</v>
      </c>
      <c r="R9" s="51"/>
      <c r="S9" s="44" t="s">
        <v>85</v>
      </c>
      <c r="T9" s="45" t="s">
        <v>86</v>
      </c>
      <c r="V9" t="s">
        <v>26</v>
      </c>
    </row>
    <row r="10" spans="1:22" ht="17">
      <c r="A10" s="269"/>
      <c r="B10" s="161"/>
      <c r="C10" s="131" t="s">
        <v>21</v>
      </c>
      <c r="D10" s="172" t="s">
        <v>128</v>
      </c>
      <c r="E10" s="173" t="s">
        <v>129</v>
      </c>
      <c r="F10" s="131"/>
      <c r="G10" s="131"/>
      <c r="H10" s="133"/>
      <c r="I10" s="30"/>
      <c r="J10" s="52"/>
      <c r="K10" s="53" t="s">
        <v>89</v>
      </c>
      <c r="L10" s="48" t="s">
        <v>90</v>
      </c>
      <c r="M10" s="54" t="s">
        <v>91</v>
      </c>
      <c r="N10" s="42"/>
      <c r="O10" s="42"/>
      <c r="P10" s="50" t="s">
        <v>92</v>
      </c>
      <c r="Q10" s="55"/>
      <c r="R10" s="51"/>
      <c r="S10" s="44"/>
      <c r="T10" s="45" t="s">
        <v>89</v>
      </c>
      <c r="V10" t="s">
        <v>133</v>
      </c>
    </row>
    <row r="11" spans="1:22" ht="17">
      <c r="A11" s="269"/>
      <c r="B11" s="161"/>
      <c r="C11" s="131"/>
      <c r="D11" s="174">
        <f>VLOOKUP(L38,TBL,2)</f>
        <v>0.5</v>
      </c>
      <c r="E11" s="175">
        <f>VLOOKUP(L38,TBL,3)</f>
        <v>0.5</v>
      </c>
      <c r="F11" s="387">
        <f>入力!D22</f>
        <v>10000</v>
      </c>
      <c r="G11" s="131" t="s">
        <v>17</v>
      </c>
      <c r="H11" s="133"/>
      <c r="I11" s="30"/>
      <c r="J11" s="52"/>
      <c r="K11" s="53" t="s">
        <v>93</v>
      </c>
      <c r="L11" s="48" t="s">
        <v>94</v>
      </c>
      <c r="M11" s="49" t="s">
        <v>95</v>
      </c>
      <c r="N11" s="42"/>
      <c r="O11" s="50" t="s">
        <v>96</v>
      </c>
      <c r="P11" s="55"/>
      <c r="Q11" s="55"/>
      <c r="R11" s="51"/>
      <c r="S11" s="56"/>
      <c r="T11" s="57" t="s">
        <v>93</v>
      </c>
      <c r="V11">
        <v>1</v>
      </c>
    </row>
    <row r="12" spans="1:22" ht="18" thickBot="1">
      <c r="A12" s="269"/>
      <c r="B12" s="161"/>
      <c r="C12" s="131"/>
      <c r="D12" s="131"/>
      <c r="E12" s="131"/>
      <c r="F12" s="176">
        <f>F11*1000/50</f>
        <v>200000</v>
      </c>
      <c r="G12" s="131" t="s">
        <v>18</v>
      </c>
      <c r="H12" s="133"/>
      <c r="I12" s="30"/>
      <c r="J12" s="58" t="s">
        <v>97</v>
      </c>
      <c r="K12" s="59"/>
      <c r="L12" s="60" t="s">
        <v>98</v>
      </c>
      <c r="M12" s="61" t="s">
        <v>99</v>
      </c>
      <c r="N12" s="62" t="s">
        <v>97</v>
      </c>
      <c r="O12" s="63"/>
      <c r="P12" s="63"/>
      <c r="Q12" s="63"/>
      <c r="R12" s="59"/>
      <c r="S12" s="62" t="s">
        <v>97</v>
      </c>
      <c r="T12" s="64"/>
      <c r="V12" s="110" t="s">
        <v>150</v>
      </c>
    </row>
    <row r="13" spans="1:22" ht="17">
      <c r="A13" s="269"/>
      <c r="B13" s="161"/>
      <c r="C13" s="131"/>
      <c r="D13" s="131"/>
      <c r="E13" s="131"/>
      <c r="F13" s="131"/>
      <c r="G13" s="131"/>
      <c r="H13" s="133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V13" s="28" t="s">
        <v>149</v>
      </c>
    </row>
    <row r="14" spans="1:22" ht="18" thickBot="1">
      <c r="A14" s="269"/>
      <c r="B14" s="161"/>
      <c r="C14" s="131"/>
      <c r="D14" s="163" t="s">
        <v>277</v>
      </c>
      <c r="E14" s="163" t="s">
        <v>19</v>
      </c>
      <c r="F14" s="131"/>
      <c r="G14" s="131"/>
      <c r="H14" s="133"/>
      <c r="I14" s="30"/>
      <c r="J14" s="65" t="s">
        <v>100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V14" s="28" t="s">
        <v>26</v>
      </c>
    </row>
    <row r="15" spans="1:22" ht="17">
      <c r="A15" s="269"/>
      <c r="B15" s="161"/>
      <c r="C15" s="131" t="s">
        <v>22</v>
      </c>
      <c r="D15" s="169">
        <f>D9*G9*D11</f>
        <v>555.95833333333326</v>
      </c>
      <c r="E15" s="169">
        <f>F12*D15/1000</f>
        <v>111191.66666666666</v>
      </c>
      <c r="F15" s="131"/>
      <c r="G15" s="131"/>
      <c r="H15" s="133"/>
      <c r="I15" s="30"/>
      <c r="J15" s="423" t="s">
        <v>74</v>
      </c>
      <c r="K15" s="424"/>
      <c r="L15" s="33" t="s">
        <v>75</v>
      </c>
      <c r="M15" s="34" t="s">
        <v>76</v>
      </c>
      <c r="N15" s="35" t="s">
        <v>101</v>
      </c>
      <c r="O15" s="35" t="s">
        <v>102</v>
      </c>
      <c r="P15" s="35" t="s">
        <v>103</v>
      </c>
      <c r="Q15" s="36" t="s">
        <v>104</v>
      </c>
      <c r="R15" s="66" t="s">
        <v>105</v>
      </c>
      <c r="S15" s="425" t="s">
        <v>74</v>
      </c>
      <c r="T15" s="426"/>
      <c r="V15" s="28" t="s">
        <v>133</v>
      </c>
    </row>
    <row r="16" spans="1:22" ht="17">
      <c r="A16" s="269"/>
      <c r="B16" s="161"/>
      <c r="C16" s="131" t="s">
        <v>146</v>
      </c>
      <c r="D16" s="169">
        <f>E16/F12*1000</f>
        <v>1000</v>
      </c>
      <c r="E16" s="137">
        <f>F8</f>
        <v>200000</v>
      </c>
      <c r="F16" s="131"/>
      <c r="G16" s="131"/>
      <c r="H16" s="133"/>
      <c r="I16" s="30"/>
      <c r="J16" s="38" t="s">
        <v>82</v>
      </c>
      <c r="K16" s="39"/>
      <c r="L16" s="67" t="s">
        <v>81</v>
      </c>
      <c r="M16" s="41" t="s">
        <v>84</v>
      </c>
      <c r="N16" s="42"/>
      <c r="O16" s="42"/>
      <c r="P16" s="42"/>
      <c r="Q16" s="42"/>
      <c r="R16" s="43" t="s">
        <v>82</v>
      </c>
      <c r="S16" s="44" t="s">
        <v>82</v>
      </c>
      <c r="T16" s="45"/>
      <c r="V16" s="28"/>
    </row>
    <row r="17" spans="1:22" ht="17">
      <c r="A17" s="269"/>
      <c r="B17" s="161"/>
      <c r="C17" s="131" t="s">
        <v>23</v>
      </c>
      <c r="D17" s="177">
        <f>D15*E11+D16*(1-E11)</f>
        <v>777.97916666666663</v>
      </c>
      <c r="E17" s="177">
        <f>D17*F12/1000</f>
        <v>155595.83333333331</v>
      </c>
      <c r="F17" s="131"/>
      <c r="G17" s="131"/>
      <c r="H17" s="133"/>
      <c r="I17" s="30"/>
      <c r="J17" s="46" t="s">
        <v>85</v>
      </c>
      <c r="K17" s="47" t="s">
        <v>86</v>
      </c>
      <c r="L17" s="48" t="s">
        <v>106</v>
      </c>
      <c r="M17" s="49" t="s">
        <v>84</v>
      </c>
      <c r="N17" s="42"/>
      <c r="O17" s="42"/>
      <c r="P17" s="42"/>
      <c r="Q17" s="50" t="s">
        <v>88</v>
      </c>
      <c r="R17" s="51"/>
      <c r="S17" s="44" t="s">
        <v>85</v>
      </c>
      <c r="T17" s="45" t="s">
        <v>86</v>
      </c>
      <c r="V17" s="110" t="s">
        <v>151</v>
      </c>
    </row>
    <row r="18" spans="1:22" ht="17">
      <c r="A18" s="269"/>
      <c r="B18" s="161"/>
      <c r="C18" s="131"/>
      <c r="D18" s="178"/>
      <c r="E18" s="178"/>
      <c r="F18" s="131"/>
      <c r="G18" s="131"/>
      <c r="H18" s="133"/>
      <c r="I18" s="30"/>
      <c r="J18" s="46"/>
      <c r="K18" s="47" t="s">
        <v>89</v>
      </c>
      <c r="L18" s="48" t="s">
        <v>107</v>
      </c>
      <c r="M18" s="54" t="s">
        <v>91</v>
      </c>
      <c r="N18" s="42"/>
      <c r="O18" s="42"/>
      <c r="P18" s="50" t="s">
        <v>92</v>
      </c>
      <c r="Q18" s="55"/>
      <c r="R18" s="51"/>
      <c r="S18" s="44"/>
      <c r="T18" s="45" t="s">
        <v>89</v>
      </c>
      <c r="V18" s="28" t="s">
        <v>149</v>
      </c>
    </row>
    <row r="19" spans="1:22" ht="17">
      <c r="A19" s="269"/>
      <c r="B19" s="161"/>
      <c r="C19" s="131"/>
      <c r="D19" s="179" t="s">
        <v>142</v>
      </c>
      <c r="E19" s="180" t="s">
        <v>143</v>
      </c>
      <c r="F19" s="131"/>
      <c r="G19" s="181" t="s">
        <v>144</v>
      </c>
      <c r="H19" s="133"/>
      <c r="I19" s="30"/>
      <c r="J19" s="46"/>
      <c r="K19" s="47" t="s">
        <v>93</v>
      </c>
      <c r="L19" s="48" t="s">
        <v>108</v>
      </c>
      <c r="M19" s="49" t="s">
        <v>95</v>
      </c>
      <c r="N19" s="42"/>
      <c r="O19" s="50" t="s">
        <v>96</v>
      </c>
      <c r="P19" s="55"/>
      <c r="Q19" s="55"/>
      <c r="R19" s="51"/>
      <c r="S19" s="44"/>
      <c r="T19" s="45" t="s">
        <v>93</v>
      </c>
      <c r="V19" s="28" t="s">
        <v>26</v>
      </c>
    </row>
    <row r="20" spans="1:22" ht="18" thickBot="1">
      <c r="A20" s="269"/>
      <c r="B20" s="161"/>
      <c r="C20" s="131" t="s">
        <v>170</v>
      </c>
      <c r="D20" s="182">
        <f>D15*G20+D16*(1-G20)</f>
        <v>888.98958333333326</v>
      </c>
      <c r="E20" s="177">
        <f>D20*F12/1000</f>
        <v>177797.91666666666</v>
      </c>
      <c r="F20" s="131"/>
      <c r="G20" s="183">
        <v>0.25</v>
      </c>
      <c r="H20" s="133"/>
      <c r="I20" s="30"/>
      <c r="J20" s="58" t="s">
        <v>97</v>
      </c>
      <c r="K20" s="59"/>
      <c r="L20" s="60" t="s">
        <v>109</v>
      </c>
      <c r="M20" s="61" t="s">
        <v>99</v>
      </c>
      <c r="N20" s="62" t="s">
        <v>97</v>
      </c>
      <c r="O20" s="63"/>
      <c r="P20" s="63"/>
      <c r="Q20" s="63"/>
      <c r="R20" s="59"/>
      <c r="S20" s="62" t="s">
        <v>97</v>
      </c>
      <c r="T20" s="64"/>
      <c r="V20" s="28" t="s">
        <v>133</v>
      </c>
    </row>
    <row r="21" spans="1:22" ht="17">
      <c r="A21" s="269"/>
      <c r="B21" s="161"/>
      <c r="C21" s="131"/>
      <c r="D21" s="163" t="s">
        <v>219</v>
      </c>
      <c r="E21" s="163" t="s">
        <v>19</v>
      </c>
      <c r="F21" s="131"/>
      <c r="G21" s="131"/>
      <c r="H21" s="133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V21" s="28"/>
    </row>
    <row r="22" spans="1:22" ht="18" thickBot="1">
      <c r="A22" s="269"/>
      <c r="B22" s="161"/>
      <c r="C22" s="131" t="s">
        <v>131</v>
      </c>
      <c r="D22" s="176">
        <f>IF(L41=1,D20,MIN(D16,D17))</f>
        <v>777.97916666666663</v>
      </c>
      <c r="E22" s="176">
        <f>D22*F12/1000</f>
        <v>155595.83333333331</v>
      </c>
      <c r="F22" s="184" t="s">
        <v>201</v>
      </c>
      <c r="G22" s="169">
        <f>E22*入力!D24</f>
        <v>155595.83333333331</v>
      </c>
      <c r="H22" s="133"/>
      <c r="I22" s="30"/>
      <c r="J22" s="65" t="s">
        <v>110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V22" s="110" t="s">
        <v>152</v>
      </c>
    </row>
    <row r="23" spans="1:22" ht="17">
      <c r="A23" s="269"/>
      <c r="B23" s="161"/>
      <c r="C23" s="131"/>
      <c r="D23" s="412"/>
      <c r="E23" s="131"/>
      <c r="F23" s="184" t="s">
        <v>294</v>
      </c>
      <c r="G23" s="411">
        <f>入力!D24</f>
        <v>1</v>
      </c>
      <c r="H23" s="133"/>
      <c r="I23" s="30"/>
      <c r="J23" s="423" t="s">
        <v>74</v>
      </c>
      <c r="K23" s="424"/>
      <c r="L23" s="33" t="s">
        <v>75</v>
      </c>
      <c r="M23" s="34" t="s">
        <v>76</v>
      </c>
      <c r="N23" s="68" t="s">
        <v>111</v>
      </c>
      <c r="O23" s="68" t="s">
        <v>112</v>
      </c>
      <c r="P23" s="35" t="s">
        <v>103</v>
      </c>
      <c r="Q23" s="36" t="s">
        <v>104</v>
      </c>
      <c r="R23" s="66" t="s">
        <v>105</v>
      </c>
      <c r="S23" s="425" t="s">
        <v>74</v>
      </c>
      <c r="T23" s="426"/>
      <c r="V23" s="28" t="s">
        <v>149</v>
      </c>
    </row>
    <row r="24" spans="1:22" ht="18" thickBot="1">
      <c r="B24" s="107"/>
      <c r="C24" s="108"/>
      <c r="D24" s="108"/>
      <c r="E24" s="108"/>
      <c r="F24" s="108"/>
      <c r="G24" s="108"/>
      <c r="H24" s="109"/>
      <c r="I24" s="30"/>
      <c r="J24" s="69" t="s">
        <v>82</v>
      </c>
      <c r="K24" s="70"/>
      <c r="L24" s="67" t="s">
        <v>105</v>
      </c>
      <c r="M24" s="41" t="s">
        <v>84</v>
      </c>
      <c r="N24" s="42"/>
      <c r="O24" s="42"/>
      <c r="P24" s="42"/>
      <c r="Q24" s="42"/>
      <c r="R24" s="71" t="s">
        <v>82</v>
      </c>
      <c r="S24" s="56" t="s">
        <v>82</v>
      </c>
      <c r="T24" s="57"/>
      <c r="V24" s="28" t="s">
        <v>26</v>
      </c>
    </row>
    <row r="25" spans="1:22" ht="17">
      <c r="B25" s="2"/>
      <c r="C25" s="2"/>
      <c r="D25" s="2"/>
      <c r="E25" s="2"/>
      <c r="I25" s="30"/>
      <c r="J25" s="46" t="s">
        <v>85</v>
      </c>
      <c r="K25" s="47" t="s">
        <v>86</v>
      </c>
      <c r="L25" s="48" t="s">
        <v>113</v>
      </c>
      <c r="M25" s="49" t="s">
        <v>84</v>
      </c>
      <c r="N25" s="42"/>
      <c r="O25" s="42"/>
      <c r="P25" s="42"/>
      <c r="Q25" s="50" t="s">
        <v>88</v>
      </c>
      <c r="R25" s="51"/>
      <c r="S25" s="44" t="s">
        <v>85</v>
      </c>
      <c r="T25" s="45" t="s">
        <v>86</v>
      </c>
      <c r="V25" s="28" t="s">
        <v>133</v>
      </c>
    </row>
    <row r="26" spans="1:22" ht="17">
      <c r="B26" s="121"/>
      <c r="C26" s="2"/>
      <c r="D26" s="122"/>
      <c r="E26" s="160"/>
      <c r="I26" s="30"/>
      <c r="J26" s="52"/>
      <c r="K26" s="53" t="s">
        <v>89</v>
      </c>
      <c r="L26" s="48" t="s">
        <v>114</v>
      </c>
      <c r="M26" s="54" t="s">
        <v>91</v>
      </c>
      <c r="N26" s="42"/>
      <c r="O26" s="42"/>
      <c r="P26" s="50" t="s">
        <v>92</v>
      </c>
      <c r="Q26" s="55"/>
      <c r="R26" s="51"/>
      <c r="S26" s="56"/>
      <c r="T26" s="57" t="s">
        <v>89</v>
      </c>
      <c r="V26" s="28"/>
    </row>
    <row r="27" spans="1:22" ht="17">
      <c r="B27" s="123"/>
      <c r="C27" s="2"/>
      <c r="D27" s="124"/>
      <c r="E27" s="417"/>
      <c r="G27" s="119"/>
      <c r="I27" s="30"/>
      <c r="J27" s="46"/>
      <c r="K27" s="47" t="s">
        <v>93</v>
      </c>
      <c r="L27" s="48" t="s">
        <v>115</v>
      </c>
      <c r="M27" s="49" t="s">
        <v>95</v>
      </c>
      <c r="N27" s="42"/>
      <c r="O27" s="50" t="s">
        <v>96</v>
      </c>
      <c r="P27" s="55"/>
      <c r="Q27" s="55"/>
      <c r="R27" s="51"/>
      <c r="S27" s="44"/>
      <c r="T27" s="45" t="s">
        <v>93</v>
      </c>
      <c r="V27" s="110" t="s">
        <v>53</v>
      </c>
    </row>
    <row r="28" spans="1:22" s="25" customFormat="1" ht="18" thickBot="1">
      <c r="B28" s="2"/>
      <c r="C28" s="2"/>
      <c r="D28" s="124"/>
      <c r="E28" s="416" t="e">
        <f>E22/E27</f>
        <v>#DIV/0!</v>
      </c>
      <c r="H28"/>
      <c r="I28" s="30"/>
      <c r="J28" s="58" t="s">
        <v>97</v>
      </c>
      <c r="K28" s="59"/>
      <c r="L28" s="72" t="s">
        <v>116</v>
      </c>
      <c r="M28" s="61" t="s">
        <v>99</v>
      </c>
      <c r="N28" s="62" t="s">
        <v>97</v>
      </c>
      <c r="O28" s="63"/>
      <c r="P28" s="63"/>
      <c r="Q28" s="63"/>
      <c r="R28" s="59"/>
      <c r="S28" s="62" t="s">
        <v>97</v>
      </c>
      <c r="T28" s="64"/>
      <c r="V28" s="28" t="s">
        <v>149</v>
      </c>
    </row>
    <row r="29" spans="1:22" s="25" customFormat="1">
      <c r="B29" s="2"/>
      <c r="C29" s="2"/>
      <c r="D29" s="124"/>
      <c r="E29" s="121"/>
      <c r="V29" s="28" t="s">
        <v>26</v>
      </c>
    </row>
    <row r="30" spans="1:22" ht="17" customHeight="1">
      <c r="B30" s="2"/>
      <c r="C30" s="24"/>
      <c r="D30" s="125"/>
      <c r="E30" s="121"/>
      <c r="H30" s="25"/>
      <c r="L30" s="118" t="s">
        <v>130</v>
      </c>
      <c r="M30" s="118"/>
      <c r="N30" s="118" t="s">
        <v>128</v>
      </c>
      <c r="O30" s="118" t="s">
        <v>129</v>
      </c>
      <c r="V30" s="28" t="s">
        <v>133</v>
      </c>
    </row>
    <row r="31" spans="1:22" ht="17">
      <c r="B31" s="2"/>
      <c r="C31" s="2"/>
      <c r="D31" s="126"/>
      <c r="E31" s="2"/>
      <c r="L31" s="75" t="s">
        <v>122</v>
      </c>
      <c r="M31">
        <v>1</v>
      </c>
      <c r="N31" s="76">
        <v>0.7</v>
      </c>
      <c r="O31" s="77">
        <v>1</v>
      </c>
    </row>
    <row r="32" spans="1:22" ht="17">
      <c r="B32" s="2"/>
      <c r="C32" s="2"/>
      <c r="D32" s="2"/>
      <c r="E32" s="2"/>
      <c r="L32" s="78" t="s">
        <v>117</v>
      </c>
      <c r="M32">
        <v>2</v>
      </c>
      <c r="N32" s="79">
        <v>0.6</v>
      </c>
      <c r="O32" s="80">
        <v>0.9</v>
      </c>
    </row>
    <row r="33" spans="2:15" ht="17">
      <c r="B33" s="24"/>
      <c r="C33" s="2"/>
      <c r="D33" s="124"/>
      <c r="E33" s="2"/>
      <c r="L33" s="78" t="s">
        <v>118</v>
      </c>
      <c r="M33">
        <v>3</v>
      </c>
      <c r="N33" s="79">
        <v>0.6</v>
      </c>
      <c r="O33" s="80">
        <v>0.75</v>
      </c>
    </row>
    <row r="34" spans="2:15" ht="17">
      <c r="B34" s="127"/>
      <c r="C34" s="2"/>
      <c r="D34" s="123"/>
      <c r="E34" s="2"/>
      <c r="L34" s="78" t="s">
        <v>119</v>
      </c>
      <c r="M34">
        <v>4</v>
      </c>
      <c r="N34" s="79">
        <v>0.6</v>
      </c>
      <c r="O34" s="80">
        <v>0.6</v>
      </c>
    </row>
    <row r="35" spans="2:15" ht="17">
      <c r="B35" s="2"/>
      <c r="C35" s="24"/>
      <c r="D35" s="126"/>
      <c r="E35" s="2"/>
      <c r="I35" s="83" t="s">
        <v>123</v>
      </c>
      <c r="J35" s="129">
        <f>入力!D12</f>
        <v>30</v>
      </c>
      <c r="K35" s="84" t="s">
        <v>127</v>
      </c>
      <c r="L35" s="78" t="s">
        <v>120</v>
      </c>
      <c r="M35">
        <v>5</v>
      </c>
      <c r="N35" s="81">
        <v>0.5</v>
      </c>
      <c r="O35" s="82">
        <v>0.5</v>
      </c>
    </row>
    <row r="36" spans="2:15" ht="17">
      <c r="B36" s="2"/>
      <c r="C36" s="2"/>
      <c r="D36" s="2"/>
      <c r="E36" s="2"/>
      <c r="I36" s="85" t="s">
        <v>124</v>
      </c>
      <c r="J36" s="120">
        <f>入力!D13/10</f>
        <v>100000</v>
      </c>
      <c r="K36" s="86" t="s">
        <v>126</v>
      </c>
      <c r="L36" s="73" t="s">
        <v>121</v>
      </c>
      <c r="N36" s="101"/>
      <c r="O36" s="102">
        <v>0.25</v>
      </c>
    </row>
    <row r="37" spans="2:15" ht="17">
      <c r="B37" s="2"/>
      <c r="C37" s="2"/>
      <c r="D37" s="2"/>
      <c r="E37" s="2"/>
      <c r="I37" s="87" t="s">
        <v>125</v>
      </c>
      <c r="J37" s="130">
        <f>入力!D17/10</f>
        <v>52357.5</v>
      </c>
      <c r="K37" s="88" t="s">
        <v>126</v>
      </c>
      <c r="L37" s="74"/>
    </row>
    <row r="38" spans="2:15">
      <c r="B38" s="123"/>
      <c r="C38" s="2"/>
      <c r="D38" s="2"/>
      <c r="E38" s="2"/>
      <c r="L38" s="3">
        <v>5</v>
      </c>
    </row>
    <row r="39" spans="2:15" ht="17">
      <c r="B39" s="2"/>
      <c r="C39" s="2"/>
      <c r="D39" s="2"/>
      <c r="E39" s="2"/>
      <c r="L39" s="73" t="s">
        <v>121</v>
      </c>
    </row>
    <row r="40" spans="2:15" ht="17">
      <c r="B40" s="2"/>
      <c r="C40" s="2"/>
      <c r="D40" s="2"/>
      <c r="E40" s="2"/>
      <c r="L40" s="74" t="s">
        <v>145</v>
      </c>
    </row>
    <row r="41" spans="2:15">
      <c r="B41" s="123"/>
      <c r="C41" s="2"/>
      <c r="D41" s="122"/>
      <c r="E41" s="2"/>
      <c r="L41" s="4">
        <f>COUNTIF(F6:F8,"&gt;0")</f>
        <v>3</v>
      </c>
    </row>
    <row r="42" spans="2:15">
      <c r="B42" s="2"/>
      <c r="C42" s="2"/>
      <c r="D42" s="122"/>
      <c r="E42" s="2"/>
    </row>
    <row r="43" spans="2:15">
      <c r="B43" s="2"/>
      <c r="C43" s="2"/>
      <c r="D43" s="122"/>
      <c r="E43" s="2"/>
    </row>
    <row r="44" spans="2:15">
      <c r="B44" s="2"/>
      <c r="C44" s="2"/>
      <c r="D44" s="2"/>
      <c r="E44" s="2"/>
    </row>
    <row r="45" spans="2:15">
      <c r="B45" s="2"/>
      <c r="C45" s="2"/>
      <c r="D45" s="2"/>
      <c r="E45" s="2"/>
    </row>
    <row r="46" spans="2:15">
      <c r="B46" s="24"/>
      <c r="C46" s="26"/>
      <c r="D46" s="2"/>
      <c r="E46" s="2"/>
    </row>
    <row r="47" spans="2:15">
      <c r="B47" s="128"/>
      <c r="C47" s="2"/>
      <c r="D47" s="2"/>
      <c r="E47" s="2"/>
    </row>
    <row r="48" spans="2:15">
      <c r="B48" s="2"/>
      <c r="C48" s="2"/>
      <c r="D48" s="2"/>
      <c r="E48" s="2"/>
    </row>
  </sheetData>
  <mergeCells count="6">
    <mergeCell ref="J7:K7"/>
    <mergeCell ref="S7:T7"/>
    <mergeCell ref="J15:K15"/>
    <mergeCell ref="S15:T15"/>
    <mergeCell ref="J23:K23"/>
    <mergeCell ref="S23:T23"/>
  </mergeCells>
  <phoneticPr fontId="3"/>
  <dataValidations count="5">
    <dataValidation type="list" allowBlank="1" showInputMessage="1" showErrorMessage="1" sqref="B27">
      <formula1>$V$23:$V$25</formula1>
    </dataValidation>
    <dataValidation type="list" allowBlank="1" showInputMessage="1" showErrorMessage="1" sqref="B34">
      <formula1>$V$28:$V$30</formula1>
    </dataValidation>
    <dataValidation type="list" allowBlank="1" showInputMessage="1" showErrorMessage="1" sqref="B38">
      <formula1>$V$8:$V$10</formula1>
    </dataValidation>
    <dataValidation type="list" allowBlank="1" showInputMessage="1" showErrorMessage="1" sqref="B41">
      <formula1>$V$13:$V$15</formula1>
    </dataValidation>
    <dataValidation type="list" allowBlank="1" showInputMessage="1" showErrorMessage="1" sqref="B47">
      <formula1>$V$18:$V$20</formula1>
    </dataValidation>
  </dataValidations>
  <pageMargins left="0.70000000000000007" right="0.70000000000000007" top="0.75000000000000011" bottom="0.75000000000000011" header="0.30000000000000004" footer="0.30000000000000004"/>
  <pageSetup paperSize="9" scale="32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defaultSize="0" autoLine="0" autoPict="0">
                <anchor moveWithCells="1">
                  <from>
                    <xdr:col>8</xdr:col>
                    <xdr:colOff>914400</xdr:colOff>
                    <xdr:row>30</xdr:row>
                    <xdr:rowOff>88900</xdr:rowOff>
                  </from>
                  <to>
                    <xdr:col>10</xdr:col>
                    <xdr:colOff>101600</xdr:colOff>
                    <xdr:row>31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190500</xdr:rowOff>
                  </from>
                  <to>
                    <xdr:col>6</xdr:col>
                    <xdr:colOff>1130300</xdr:colOff>
                    <xdr:row>17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0"/>
  <sheetViews>
    <sheetView showGridLines="0" workbookViewId="0">
      <selection activeCell="D11" sqref="D11"/>
    </sheetView>
  </sheetViews>
  <sheetFormatPr baseColWidth="12" defaultColWidth="8.7109375" defaultRowHeight="17" x14ac:dyDescent="0"/>
  <cols>
    <col min="1" max="1" width="8.7109375" style="225"/>
    <col min="2" max="2" width="14.42578125" style="225" customWidth="1"/>
    <col min="3" max="3" width="9.7109375" style="225" customWidth="1"/>
    <col min="4" max="4" width="14" style="225" customWidth="1"/>
    <col min="5" max="5" width="15.85546875" style="225" customWidth="1"/>
    <col min="6" max="9" width="9.7109375" style="225" customWidth="1"/>
    <col min="10" max="13" width="8.7109375" style="225"/>
    <col min="14" max="14" width="13" style="225" bestFit="1" customWidth="1"/>
    <col min="15" max="15" width="8.7109375" style="225"/>
    <col min="16" max="16" width="13" style="225" bestFit="1" customWidth="1"/>
    <col min="17" max="16384" width="8.7109375" style="225"/>
  </cols>
  <sheetData>
    <row r="3" spans="2:19">
      <c r="C3" s="226" t="s">
        <v>33</v>
      </c>
      <c r="D3" s="227"/>
      <c r="E3" s="227" t="s">
        <v>35</v>
      </c>
      <c r="F3" s="227" t="s">
        <v>36</v>
      </c>
      <c r="G3" s="227" t="s">
        <v>37</v>
      </c>
      <c r="H3" s="228"/>
      <c r="I3" s="229"/>
      <c r="L3" s="216" t="s">
        <v>28</v>
      </c>
      <c r="M3" s="216"/>
      <c r="N3" s="216"/>
      <c r="O3" s="217"/>
      <c r="Q3" s="218" t="s">
        <v>31</v>
      </c>
      <c r="R3" s="216"/>
      <c r="S3" s="216"/>
    </row>
    <row r="4" spans="2:19">
      <c r="B4" s="230">
        <v>0</v>
      </c>
      <c r="C4" s="231">
        <f>B4+株価計算!G22/10</f>
        <v>15559.583333333332</v>
      </c>
      <c r="D4" s="232"/>
      <c r="E4" s="232">
        <v>110</v>
      </c>
      <c r="F4" s="233">
        <f>C4-ZOY</f>
        <v>15449.583333333332</v>
      </c>
      <c r="G4" s="234">
        <f>VLOOKUP(KAZ,ZRATE,2)*KAZ-VLOOKUP(KAZ,ZRATE,3)</f>
        <v>7857.2708333333339</v>
      </c>
      <c r="H4" s="235"/>
      <c r="I4" s="236"/>
      <c r="L4" s="216" t="s">
        <v>29</v>
      </c>
      <c r="M4" s="216"/>
      <c r="N4" s="216"/>
      <c r="O4" s="217"/>
      <c r="Q4" s="218" t="s">
        <v>32</v>
      </c>
      <c r="R4" s="216"/>
      <c r="S4" s="218"/>
    </row>
    <row r="5" spans="2:19">
      <c r="C5" s="237" t="s">
        <v>34</v>
      </c>
      <c r="D5" s="235"/>
      <c r="E5" s="238" t="s">
        <v>34</v>
      </c>
      <c r="F5" s="238" t="s">
        <v>34</v>
      </c>
      <c r="G5" s="238" t="s">
        <v>34</v>
      </c>
      <c r="H5" s="235"/>
      <c r="I5" s="236"/>
      <c r="L5" s="219" t="s">
        <v>27</v>
      </c>
      <c r="M5" s="220"/>
      <c r="N5" s="221"/>
      <c r="O5" s="222"/>
      <c r="Q5" s="219" t="s">
        <v>30</v>
      </c>
      <c r="R5" s="220"/>
      <c r="S5" s="223"/>
    </row>
    <row r="6" spans="2:19">
      <c r="C6" s="239"/>
      <c r="D6" s="235"/>
      <c r="E6" s="235"/>
      <c r="F6" s="235"/>
      <c r="G6" s="232" t="s">
        <v>38</v>
      </c>
      <c r="H6" s="235"/>
      <c r="I6" s="236"/>
      <c r="L6" s="7">
        <v>-10000</v>
      </c>
      <c r="M6" s="8">
        <v>0</v>
      </c>
      <c r="N6" s="9">
        <v>0</v>
      </c>
      <c r="O6" s="224"/>
      <c r="Q6" s="240">
        <v>-10000</v>
      </c>
      <c r="R6" s="241">
        <v>0</v>
      </c>
      <c r="S6" s="242">
        <v>0</v>
      </c>
    </row>
    <row r="7" spans="2:19">
      <c r="C7" s="243"/>
      <c r="D7" s="244"/>
      <c r="E7" s="244"/>
      <c r="F7" s="244"/>
      <c r="G7" s="245">
        <f>G4/C4</f>
        <v>0.50497951423292187</v>
      </c>
      <c r="H7" s="244"/>
      <c r="I7" s="246"/>
      <c r="L7" s="10">
        <v>0</v>
      </c>
      <c r="M7" s="11">
        <v>0.1</v>
      </c>
      <c r="N7" s="12">
        <v>0</v>
      </c>
      <c r="O7" s="224"/>
      <c r="Q7" s="247">
        <v>0</v>
      </c>
      <c r="R7" s="248">
        <v>0.1</v>
      </c>
      <c r="S7" s="249">
        <v>0</v>
      </c>
    </row>
    <row r="8" spans="2:19">
      <c r="L8" s="10">
        <v>1000</v>
      </c>
      <c r="M8" s="11">
        <v>0.15</v>
      </c>
      <c r="N8" s="12">
        <v>50</v>
      </c>
      <c r="O8" s="224"/>
      <c r="Q8" s="247">
        <v>200</v>
      </c>
      <c r="R8" s="248">
        <v>0.15</v>
      </c>
      <c r="S8" s="249">
        <v>10</v>
      </c>
    </row>
    <row r="9" spans="2:19">
      <c r="C9" s="250" t="s">
        <v>161</v>
      </c>
      <c r="L9" s="10">
        <v>3000</v>
      </c>
      <c r="M9" s="11">
        <v>0.2</v>
      </c>
      <c r="N9" s="12">
        <v>200</v>
      </c>
      <c r="O9" s="224"/>
      <c r="Q9" s="247">
        <v>300.00000999999997</v>
      </c>
      <c r="R9" s="248">
        <v>0.15</v>
      </c>
      <c r="S9" s="249">
        <v>10</v>
      </c>
    </row>
    <row r="10" spans="2:19">
      <c r="B10" s="225" t="s">
        <v>216</v>
      </c>
      <c r="C10" s="251" t="s">
        <v>41</v>
      </c>
      <c r="D10" s="252" t="s">
        <v>42</v>
      </c>
      <c r="E10" s="252" t="s">
        <v>43</v>
      </c>
      <c r="F10" s="252" t="s">
        <v>44</v>
      </c>
      <c r="G10" s="253" t="s">
        <v>45</v>
      </c>
      <c r="H10" s="228"/>
      <c r="I10" s="229"/>
      <c r="L10" s="10">
        <v>5000</v>
      </c>
      <c r="M10" s="11">
        <v>0.3</v>
      </c>
      <c r="N10" s="12">
        <v>700</v>
      </c>
      <c r="O10" s="224"/>
      <c r="Q10" s="247">
        <v>400.00000999999997</v>
      </c>
      <c r="R10" s="248">
        <v>0.2</v>
      </c>
      <c r="S10" s="249">
        <v>30</v>
      </c>
    </row>
    <row r="11" spans="2:19">
      <c r="B11" s="230">
        <v>0</v>
      </c>
      <c r="C11" s="254">
        <f>株価計算!G22/10+B11</f>
        <v>15559.583333333332</v>
      </c>
      <c r="D11" s="233">
        <f>KISO+SOU*(G30+1)</f>
        <v>4200</v>
      </c>
      <c r="E11" s="233">
        <f>IF(C11-D11&lt;0,0,C11-D11)</f>
        <v>11359.583333333332</v>
      </c>
      <c r="F11" s="233">
        <f>E11/IF(G30=0,1,2)</f>
        <v>5679.7916666666661</v>
      </c>
      <c r="G11" s="255">
        <f>IF(G30=0,0,F11/G30)</f>
        <v>5679.7916666666661</v>
      </c>
      <c r="H11" s="235"/>
      <c r="I11" s="236"/>
      <c r="L11" s="10">
        <v>10000</v>
      </c>
      <c r="M11" s="11">
        <v>0.4</v>
      </c>
      <c r="N11" s="12">
        <v>1700</v>
      </c>
      <c r="O11" s="224"/>
      <c r="Q11" s="247">
        <v>600</v>
      </c>
      <c r="R11" s="248">
        <v>0.3</v>
      </c>
      <c r="S11" s="249">
        <v>90</v>
      </c>
    </row>
    <row r="12" spans="2:19">
      <c r="C12" s="237" t="s">
        <v>34</v>
      </c>
      <c r="D12" s="235"/>
      <c r="E12" s="235"/>
      <c r="F12" s="235"/>
      <c r="G12" s="235"/>
      <c r="H12" s="235"/>
      <c r="I12" s="256" t="s">
        <v>215</v>
      </c>
      <c r="L12" s="13">
        <v>20000</v>
      </c>
      <c r="M12" s="14">
        <v>0.45</v>
      </c>
      <c r="N12" s="15">
        <v>2700</v>
      </c>
      <c r="O12" s="224"/>
      <c r="Q12" s="19">
        <v>1000</v>
      </c>
      <c r="R12" s="257">
        <v>0.4</v>
      </c>
      <c r="S12" s="20">
        <v>190</v>
      </c>
    </row>
    <row r="13" spans="2:19">
      <c r="C13" s="239"/>
      <c r="D13" s="258" t="s">
        <v>217</v>
      </c>
      <c r="E13" s="384" t="s">
        <v>134</v>
      </c>
      <c r="F13" s="259" t="s">
        <v>46</v>
      </c>
      <c r="G13" s="259" t="s">
        <v>47</v>
      </c>
      <c r="H13" s="259" t="s">
        <v>48</v>
      </c>
      <c r="I13" s="260" t="s">
        <v>49</v>
      </c>
      <c r="L13" s="13">
        <v>30000</v>
      </c>
      <c r="M13" s="14">
        <v>0.5</v>
      </c>
      <c r="N13" s="15">
        <v>4200</v>
      </c>
      <c r="O13" s="224"/>
      <c r="Q13" s="19">
        <v>1500</v>
      </c>
      <c r="R13" s="14">
        <v>0.45</v>
      </c>
      <c r="S13" s="20">
        <v>265</v>
      </c>
    </row>
    <row r="14" spans="2:19">
      <c r="C14" s="243"/>
      <c r="D14" s="385">
        <f>IF(G30=0,MIN(E11/2,E11-16000),0)</f>
        <v>0</v>
      </c>
      <c r="E14" s="386">
        <f>IF(D14&lt;0,0,D14*VLOOKUP(D14,SRATE,2)-VLOOKUP(D14,SRATE,3))</f>
        <v>0</v>
      </c>
      <c r="F14" s="261">
        <f>F11*VLOOKUP(F11,SRATE,2)-VLOOKUP(F11,SRATE,3)</f>
        <v>1003.9374999999998</v>
      </c>
      <c r="G14" s="261">
        <f>G11*VLOOKUP(G11,SRATE,2)-VLOOKUP(G11,SRATE,3)</f>
        <v>1003.9374999999998</v>
      </c>
      <c r="H14" s="261">
        <f>F14+G14*G30</f>
        <v>2007.8749999999995</v>
      </c>
      <c r="I14" s="262">
        <f>IF(G30=0,E14,H14/2)</f>
        <v>1003.9374999999998</v>
      </c>
      <c r="L14" s="16">
        <v>60000</v>
      </c>
      <c r="M14" s="17">
        <v>0.55000000000000004</v>
      </c>
      <c r="N14" s="18">
        <v>7200</v>
      </c>
      <c r="O14" s="263"/>
      <c r="Q14" s="19">
        <v>3000</v>
      </c>
      <c r="R14" s="14">
        <v>0.5</v>
      </c>
      <c r="S14" s="20">
        <v>415</v>
      </c>
    </row>
    <row r="15" spans="2:19">
      <c r="C15" s="250" t="s">
        <v>162</v>
      </c>
      <c r="L15" s="263"/>
      <c r="M15" s="263"/>
      <c r="N15" s="263"/>
      <c r="O15" s="263"/>
      <c r="Q15" s="21">
        <v>4500</v>
      </c>
      <c r="R15" s="17">
        <v>0.55000000000000004</v>
      </c>
      <c r="S15" s="22">
        <v>640</v>
      </c>
    </row>
    <row r="16" spans="2:19">
      <c r="B16" s="225" t="s">
        <v>275</v>
      </c>
      <c r="C16" s="251" t="s">
        <v>41</v>
      </c>
      <c r="D16" s="252" t="s">
        <v>42</v>
      </c>
      <c r="E16" s="252" t="s">
        <v>43</v>
      </c>
      <c r="F16" s="252" t="s">
        <v>44</v>
      </c>
      <c r="G16" s="253" t="s">
        <v>45</v>
      </c>
      <c r="H16" s="228"/>
      <c r="I16" s="229"/>
      <c r="L16" s="263"/>
      <c r="M16" s="263"/>
      <c r="N16" s="263"/>
      <c r="O16" s="263"/>
    </row>
    <row r="17" spans="2:15">
      <c r="B17" s="264">
        <v>0</v>
      </c>
      <c r="C17" s="254">
        <f>C11/2+B17</f>
        <v>7779.7916666666661</v>
      </c>
      <c r="D17" s="233">
        <f>KISO+SOU*G30</f>
        <v>3600</v>
      </c>
      <c r="E17" s="233">
        <f>IF(C17-D17&lt;0,0,C17-D17)</f>
        <v>4179.7916666666661</v>
      </c>
      <c r="F17" s="233"/>
      <c r="G17" s="233">
        <f>IF(G30=0,0,E17/G30)</f>
        <v>4179.7916666666661</v>
      </c>
      <c r="H17" s="235"/>
      <c r="I17" s="236"/>
      <c r="L17" s="263"/>
      <c r="M17" s="263"/>
      <c r="N17" s="263"/>
      <c r="O17" s="263"/>
    </row>
    <row r="18" spans="2:15">
      <c r="C18" s="237" t="s">
        <v>34</v>
      </c>
      <c r="D18" s="235"/>
      <c r="E18" s="235"/>
      <c r="F18" s="235"/>
      <c r="G18" s="235"/>
      <c r="H18" s="235"/>
      <c r="I18" s="256" t="s">
        <v>215</v>
      </c>
      <c r="L18" s="263"/>
      <c r="M18" s="263"/>
      <c r="N18" s="263"/>
      <c r="O18" s="263"/>
    </row>
    <row r="19" spans="2:15">
      <c r="C19" s="239"/>
      <c r="D19" s="235"/>
      <c r="E19" s="235"/>
      <c r="F19" s="259" t="s">
        <v>46</v>
      </c>
      <c r="G19" s="259" t="s">
        <v>47</v>
      </c>
      <c r="H19" s="259" t="s">
        <v>48</v>
      </c>
      <c r="I19" s="260" t="s">
        <v>138</v>
      </c>
    </row>
    <row r="20" spans="2:15">
      <c r="C20" s="243"/>
      <c r="D20" s="244"/>
      <c r="E20" s="244"/>
      <c r="F20" s="261">
        <v>0</v>
      </c>
      <c r="G20" s="261">
        <f>G17*VLOOKUP(G17,SRATE,2)-VLOOKUP(G17,SRATE,3)</f>
        <v>635.95833333333326</v>
      </c>
      <c r="H20" s="261">
        <f>G20*G30</f>
        <v>635.95833333333326</v>
      </c>
      <c r="I20" s="262">
        <f>IF(G30=0,0,H20)</f>
        <v>635.95833333333326</v>
      </c>
    </row>
    <row r="21" spans="2:15">
      <c r="L21" s="263"/>
      <c r="M21" s="263"/>
      <c r="N21" s="263"/>
      <c r="O21" s="263"/>
    </row>
    <row r="22" spans="2:15">
      <c r="C22" s="265" t="s">
        <v>164</v>
      </c>
    </row>
    <row r="23" spans="2:15">
      <c r="C23" s="251" t="s">
        <v>41</v>
      </c>
      <c r="D23" s="252" t="s">
        <v>42</v>
      </c>
      <c r="E23" s="252" t="s">
        <v>43</v>
      </c>
      <c r="F23" s="252" t="s">
        <v>44</v>
      </c>
      <c r="G23" s="253" t="s">
        <v>45</v>
      </c>
      <c r="H23" s="228"/>
      <c r="I23" s="229"/>
    </row>
    <row r="24" spans="2:15">
      <c r="B24" s="266"/>
      <c r="C24" s="267">
        <f>C11</f>
        <v>15559.583333333332</v>
      </c>
      <c r="D24" s="233">
        <f>KISO+SOU*G30</f>
        <v>3600</v>
      </c>
      <c r="E24" s="233">
        <f>IF(C24-D24&lt;0,0,C24-D24)</f>
        <v>11959.583333333332</v>
      </c>
      <c r="F24" s="233"/>
      <c r="G24" s="233">
        <f>IF(G30=0,0,E24/G30)</f>
        <v>11959.583333333332</v>
      </c>
      <c r="H24" s="235"/>
      <c r="I24" s="236"/>
    </row>
    <row r="25" spans="2:15">
      <c r="C25" s="237" t="s">
        <v>34</v>
      </c>
      <c r="D25" s="235"/>
      <c r="E25" s="235"/>
      <c r="F25" s="235"/>
      <c r="G25" s="235"/>
      <c r="H25" s="235"/>
      <c r="I25" s="256" t="s">
        <v>215</v>
      </c>
    </row>
    <row r="26" spans="2:15">
      <c r="C26" s="239"/>
      <c r="D26" s="235"/>
      <c r="E26" s="235"/>
      <c r="F26" s="259" t="s">
        <v>46</v>
      </c>
      <c r="G26" s="259" t="s">
        <v>47</v>
      </c>
      <c r="H26" s="259" t="s">
        <v>48</v>
      </c>
      <c r="I26" s="260" t="s">
        <v>50</v>
      </c>
    </row>
    <row r="27" spans="2:15">
      <c r="C27" s="243"/>
      <c r="D27" s="244"/>
      <c r="E27" s="244"/>
      <c r="F27" s="261">
        <v>0</v>
      </c>
      <c r="G27" s="261">
        <f>G24*VLOOKUP(G24,SRATE,2)-VLOOKUP(G24,SRATE,3)</f>
        <v>3083.833333333333</v>
      </c>
      <c r="H27" s="261">
        <f>G27*G30</f>
        <v>3083.833333333333</v>
      </c>
      <c r="I27" s="262">
        <f>IF(G30=0,0,H27)</f>
        <v>3083.833333333333</v>
      </c>
    </row>
    <row r="29" spans="2:15">
      <c r="D29" s="263" t="s">
        <v>213</v>
      </c>
      <c r="F29" s="268">
        <v>3000</v>
      </c>
      <c r="H29" s="263"/>
    </row>
    <row r="30" spans="2:15">
      <c r="D30" s="263" t="s">
        <v>214</v>
      </c>
      <c r="F30" s="268">
        <v>600</v>
      </c>
      <c r="G30" s="422">
        <f>入力!E9</f>
        <v>1</v>
      </c>
      <c r="H30" s="263" t="s">
        <v>163</v>
      </c>
    </row>
  </sheetData>
  <phoneticPr fontId="8"/>
  <pageMargins left="0.7" right="0.7" top="0.75" bottom="0.75" header="0.3" footer="0.3"/>
  <pageSetup paperSize="9" orientation="portrait" horizontalDpi="4294967292" verticalDpi="4294967292"/>
  <ignoredErrors>
    <ignoredError sqref="C4 C1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showGridLines="0" workbookViewId="0">
      <selection activeCell="B2" sqref="B2:H29"/>
    </sheetView>
  </sheetViews>
  <sheetFormatPr baseColWidth="12" defaultColWidth="13.7109375" defaultRowHeight="15" x14ac:dyDescent="0"/>
  <cols>
    <col min="2" max="2" width="6.28515625" customWidth="1"/>
    <col min="7" max="7" width="18.42578125" customWidth="1"/>
  </cols>
  <sheetData>
    <row r="2" spans="2:10">
      <c r="B2" s="368" t="s">
        <v>268</v>
      </c>
      <c r="C2" s="369"/>
      <c r="D2" s="370" t="s">
        <v>260</v>
      </c>
      <c r="E2" s="371" t="s">
        <v>261</v>
      </c>
      <c r="F2" s="371" t="s">
        <v>262</v>
      </c>
      <c r="G2" s="371" t="s">
        <v>263</v>
      </c>
      <c r="H2" s="94" t="s">
        <v>264</v>
      </c>
    </row>
    <row r="3" spans="2:10">
      <c r="B3" s="368"/>
      <c r="C3" s="369" t="s">
        <v>265</v>
      </c>
      <c r="D3" s="372">
        <v>300000</v>
      </c>
      <c r="E3" s="372">
        <v>0</v>
      </c>
      <c r="F3" s="372">
        <v>0</v>
      </c>
      <c r="G3" s="373">
        <v>592192</v>
      </c>
      <c r="H3" s="374">
        <f>SUM(D3:G3)</f>
        <v>892192</v>
      </c>
    </row>
    <row r="4" spans="2:10">
      <c r="B4" s="368"/>
      <c r="C4" s="375"/>
      <c r="D4" s="376"/>
      <c r="E4" s="376"/>
      <c r="F4" s="376"/>
      <c r="G4" s="377"/>
      <c r="H4" s="378"/>
    </row>
    <row r="5" spans="2:10">
      <c r="B5" s="368"/>
      <c r="C5" s="375" t="s">
        <v>266</v>
      </c>
      <c r="D5" s="376"/>
      <c r="E5" s="376"/>
      <c r="F5" s="376"/>
      <c r="G5" s="377">
        <v>1550628</v>
      </c>
      <c r="H5" s="378">
        <f t="shared" ref="H5:H6" si="0">SUM(D5:G5)</f>
        <v>1550628</v>
      </c>
    </row>
    <row r="6" spans="2:10">
      <c r="B6" s="368"/>
      <c r="C6" s="375"/>
      <c r="D6" s="376"/>
      <c r="E6" s="376"/>
      <c r="F6" s="376"/>
      <c r="G6" s="377"/>
      <c r="H6" s="378">
        <f t="shared" si="0"/>
        <v>0</v>
      </c>
    </row>
    <row r="7" spans="2:10">
      <c r="B7" s="368"/>
      <c r="C7" s="3" t="s">
        <v>267</v>
      </c>
      <c r="D7" s="379">
        <f>SUM(D3:D6)</f>
        <v>300000</v>
      </c>
      <c r="E7" s="379">
        <f>SUM(E3:E6)</f>
        <v>0</v>
      </c>
      <c r="F7" s="379">
        <f>SUM(F3:F6)</f>
        <v>0</v>
      </c>
      <c r="G7" s="380">
        <f>SUM(G3:G6)</f>
        <v>2142820</v>
      </c>
      <c r="H7" s="381">
        <f t="shared" ref="H7" si="1">SUM(D7:G7)</f>
        <v>2442820</v>
      </c>
      <c r="I7" s="119">
        <f>2142820-G5</f>
        <v>592192</v>
      </c>
      <c r="J7" s="119"/>
    </row>
    <row r="8" spans="2:10">
      <c r="B8" s="368"/>
    </row>
    <row r="9" spans="2:10">
      <c r="B9" s="368"/>
    </row>
    <row r="10" spans="2:10">
      <c r="B10" s="368"/>
    </row>
    <row r="11" spans="2:10">
      <c r="B11" s="368" t="s">
        <v>269</v>
      </c>
      <c r="C11" s="369"/>
      <c r="D11" s="370" t="s">
        <v>260</v>
      </c>
      <c r="E11" s="371" t="s">
        <v>261</v>
      </c>
      <c r="F11" s="371" t="s">
        <v>262</v>
      </c>
      <c r="G11" s="371" t="s">
        <v>263</v>
      </c>
      <c r="H11" s="94" t="s">
        <v>264</v>
      </c>
    </row>
    <row r="12" spans="2:10">
      <c r="B12" s="368"/>
      <c r="C12" s="369" t="s">
        <v>265</v>
      </c>
      <c r="D12" s="372">
        <f>D7</f>
        <v>300000</v>
      </c>
      <c r="E12" s="372">
        <f t="shared" ref="E12:G12" si="2">E7</f>
        <v>0</v>
      </c>
      <c r="F12" s="372">
        <f t="shared" si="2"/>
        <v>0</v>
      </c>
      <c r="G12" s="373">
        <f t="shared" si="2"/>
        <v>2142820</v>
      </c>
      <c r="H12" s="374">
        <f>SUM(D12:G12)</f>
        <v>2442820</v>
      </c>
    </row>
    <row r="13" spans="2:10">
      <c r="B13" s="368"/>
      <c r="C13" s="375"/>
      <c r="D13" s="376"/>
      <c r="E13" s="376"/>
      <c r="F13" s="376"/>
      <c r="G13" s="377"/>
      <c r="H13" s="378"/>
    </row>
    <row r="14" spans="2:10">
      <c r="B14" s="368"/>
      <c r="C14" s="375" t="s">
        <v>266</v>
      </c>
      <c r="D14" s="376"/>
      <c r="E14" s="376"/>
      <c r="F14" s="376"/>
      <c r="G14" s="377">
        <v>-2068715</v>
      </c>
      <c r="H14" s="378">
        <f t="shared" ref="H14:H15" si="3">SUM(D14:G14)</f>
        <v>-2068715</v>
      </c>
      <c r="I14" s="382"/>
      <c r="J14" s="119"/>
    </row>
    <row r="15" spans="2:10">
      <c r="B15" s="368"/>
      <c r="C15" s="375" t="s">
        <v>293</v>
      </c>
      <c r="D15" s="376"/>
      <c r="E15" s="376"/>
      <c r="F15" s="376"/>
      <c r="G15" s="377"/>
      <c r="H15" s="378">
        <f t="shared" si="3"/>
        <v>0</v>
      </c>
    </row>
    <row r="16" spans="2:10">
      <c r="B16" s="368"/>
      <c r="C16" s="3" t="s">
        <v>267</v>
      </c>
      <c r="D16" s="379">
        <f>SUM(D12:D15)</f>
        <v>300000</v>
      </c>
      <c r="E16" s="379">
        <f>SUM(E12:E15)</f>
        <v>0</v>
      </c>
      <c r="F16" s="379">
        <f>SUM(F12:F15)</f>
        <v>0</v>
      </c>
      <c r="G16" s="380">
        <f>SUM(G12:G15)</f>
        <v>74105</v>
      </c>
      <c r="H16" s="381">
        <f>SUM(D16:G16)</f>
        <v>374105</v>
      </c>
    </row>
    <row r="17" spans="2:10">
      <c r="B17" s="368"/>
    </row>
    <row r="18" spans="2:10">
      <c r="B18" s="368"/>
    </row>
    <row r="19" spans="2:10">
      <c r="B19" s="368"/>
    </row>
    <row r="20" spans="2:10">
      <c r="B20" s="368" t="s">
        <v>296</v>
      </c>
      <c r="C20" s="369"/>
      <c r="D20" s="370" t="s">
        <v>260</v>
      </c>
      <c r="E20" s="371" t="s">
        <v>261</v>
      </c>
      <c r="F20" s="371" t="s">
        <v>262</v>
      </c>
      <c r="G20" s="371" t="s">
        <v>263</v>
      </c>
      <c r="H20" s="94" t="s">
        <v>264</v>
      </c>
    </row>
    <row r="21" spans="2:10">
      <c r="B21" s="368"/>
      <c r="C21" s="369" t="s">
        <v>265</v>
      </c>
      <c r="D21" s="372">
        <f>D16</f>
        <v>300000</v>
      </c>
      <c r="E21" s="372">
        <f t="shared" ref="E21:G21" si="4">E16</f>
        <v>0</v>
      </c>
      <c r="F21" s="372">
        <f t="shared" si="4"/>
        <v>0</v>
      </c>
      <c r="G21" s="373">
        <f t="shared" si="4"/>
        <v>74105</v>
      </c>
      <c r="H21" s="374">
        <f>SUM(D21:G21)</f>
        <v>374105</v>
      </c>
    </row>
    <row r="22" spans="2:10">
      <c r="B22" s="368"/>
      <c r="C22" s="375"/>
      <c r="D22" s="376"/>
      <c r="E22" s="376"/>
      <c r="F22" s="376"/>
      <c r="G22" s="377"/>
      <c r="H22" s="378"/>
    </row>
    <row r="23" spans="2:10">
      <c r="B23" s="368"/>
      <c r="C23" s="375" t="s">
        <v>266</v>
      </c>
      <c r="D23" s="376"/>
      <c r="E23" s="376"/>
      <c r="F23" s="376"/>
      <c r="G23" s="377">
        <v>5290079</v>
      </c>
      <c r="H23" s="378">
        <f t="shared" ref="H23:H24" si="5">SUM(D23:G23)</f>
        <v>5290079</v>
      </c>
    </row>
    <row r="24" spans="2:10">
      <c r="B24" s="368"/>
      <c r="C24" s="375" t="s">
        <v>293</v>
      </c>
      <c r="D24" s="376"/>
      <c r="E24" s="376"/>
      <c r="F24" s="376"/>
      <c r="G24" s="377"/>
      <c r="H24" s="378">
        <f t="shared" si="5"/>
        <v>0</v>
      </c>
    </row>
    <row r="25" spans="2:10">
      <c r="B25" s="368"/>
      <c r="C25" s="3" t="s">
        <v>267</v>
      </c>
      <c r="D25" s="379">
        <f>SUM(D21:D24)</f>
        <v>300000</v>
      </c>
      <c r="E25" s="379">
        <f>SUM(E21:E24)</f>
        <v>0</v>
      </c>
      <c r="F25" s="379">
        <f>SUM(F21:F24)</f>
        <v>0</v>
      </c>
      <c r="G25" s="380">
        <f>SUM(G21:G24)</f>
        <v>5364184</v>
      </c>
      <c r="H25" s="381">
        <f t="shared" ref="H25" si="6">SUM(D25:G25)</f>
        <v>5664184</v>
      </c>
      <c r="J25" s="119"/>
    </row>
    <row r="28" spans="2:10">
      <c r="F28" s="118"/>
      <c r="G28" t="s">
        <v>270</v>
      </c>
      <c r="H28" s="119">
        <f>AVERAGE(H5,H14,H23)</f>
        <v>1590664</v>
      </c>
    </row>
    <row r="29" spans="2:10">
      <c r="G29" t="s">
        <v>271</v>
      </c>
      <c r="H29" s="382">
        <f>H28/(1-株価10年推移!E4)</f>
        <v>2272377.1428571432</v>
      </c>
    </row>
  </sheetData>
  <phoneticPr fontId="3"/>
  <pageMargins left="0.7" right="0.7" top="0.75" bottom="0.75" header="0.3" footer="0.3"/>
  <pageSetup paperSize="9" orientation="portrait" horizontalDpi="4294967292" verticalDpi="4294967292"/>
  <ignoredErrors>
    <ignoredError sqref="D7:H12 H5:H6 D13:H13 D17:G21 D22:G22 D25:H26 D14:F14 H14 D15:F15 D23:F23 D24:F24 D16:G16 H23 H22 H17:H21 H15:H16 H24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T28"/>
  <sheetViews>
    <sheetView showGridLines="0" workbookViewId="0">
      <selection activeCell="O11" sqref="O11"/>
    </sheetView>
  </sheetViews>
  <sheetFormatPr baseColWidth="12" defaultColWidth="11.140625" defaultRowHeight="19" x14ac:dyDescent="0"/>
  <cols>
    <col min="1" max="1" width="11.140625" style="289"/>
    <col min="2" max="2" width="12.7109375" style="289" customWidth="1"/>
    <col min="3" max="3" width="11.140625" style="289"/>
    <col min="4" max="4" width="13" style="289" customWidth="1"/>
    <col min="5" max="7" width="11.140625" style="289"/>
    <col min="8" max="14" width="12.140625" style="289" customWidth="1"/>
    <col min="15" max="17" width="11.140625" style="289"/>
    <col min="18" max="18" width="4.42578125" style="291" customWidth="1"/>
    <col min="19" max="16384" width="11.140625" style="289"/>
  </cols>
  <sheetData>
    <row r="4" spans="1:20">
      <c r="C4" s="289" t="s">
        <v>232</v>
      </c>
      <c r="D4" s="289" t="s">
        <v>233</v>
      </c>
      <c r="E4" s="290">
        <v>0.3</v>
      </c>
      <c r="F4" s="289" t="s">
        <v>234</v>
      </c>
    </row>
    <row r="5" spans="1:20">
      <c r="A5" s="292" t="s">
        <v>235</v>
      </c>
      <c r="B5" s="345">
        <f>入力!D12</f>
        <v>30</v>
      </c>
      <c r="C5" s="293" t="s">
        <v>236</v>
      </c>
      <c r="D5" s="294" t="s">
        <v>237</v>
      </c>
      <c r="E5" s="294">
        <v>1</v>
      </c>
      <c r="F5" s="294">
        <v>2</v>
      </c>
      <c r="G5" s="294">
        <v>3</v>
      </c>
      <c r="H5" s="294">
        <v>4</v>
      </c>
      <c r="I5" s="294">
        <v>5</v>
      </c>
      <c r="J5" s="294">
        <v>6</v>
      </c>
      <c r="K5" s="294">
        <v>7</v>
      </c>
      <c r="L5" s="294">
        <v>8</v>
      </c>
      <c r="M5" s="294">
        <v>9</v>
      </c>
      <c r="N5" s="294">
        <v>10</v>
      </c>
    </row>
    <row r="6" spans="1:20">
      <c r="A6" s="292" t="s">
        <v>238</v>
      </c>
      <c r="B6" s="346">
        <f>株価計算!F12</f>
        <v>200000</v>
      </c>
    </row>
    <row r="7" spans="1:20">
      <c r="A7" s="292" t="s">
        <v>239</v>
      </c>
      <c r="B7" s="346">
        <v>50</v>
      </c>
      <c r="C7" s="295" t="s">
        <v>240</v>
      </c>
      <c r="D7" s="351">
        <f>入力!D15*1000</f>
        <v>28000000</v>
      </c>
      <c r="E7" s="383">
        <f>株主資本変動!H29</f>
        <v>2272377.1428571432</v>
      </c>
      <c r="F7" s="296">
        <f>E7</f>
        <v>2272377.1428571432</v>
      </c>
      <c r="G7" s="296">
        <f t="shared" ref="G7:N8" si="0">F7</f>
        <v>2272377.1428571432</v>
      </c>
      <c r="H7" s="296">
        <f t="shared" si="0"/>
        <v>2272377.1428571432</v>
      </c>
      <c r="I7" s="296">
        <f t="shared" si="0"/>
        <v>2272377.1428571432</v>
      </c>
      <c r="J7" s="296">
        <f t="shared" si="0"/>
        <v>2272377.1428571432</v>
      </c>
      <c r="K7" s="296">
        <f t="shared" si="0"/>
        <v>2272377.1428571432</v>
      </c>
      <c r="L7" s="296">
        <f t="shared" si="0"/>
        <v>2272377.1428571432</v>
      </c>
      <c r="M7" s="296">
        <f t="shared" si="0"/>
        <v>2272377.1428571432</v>
      </c>
      <c r="N7" s="297">
        <f t="shared" si="0"/>
        <v>2272377.1428571432</v>
      </c>
      <c r="R7" s="298" t="s">
        <v>241</v>
      </c>
      <c r="S7" s="298" t="s">
        <v>128</v>
      </c>
      <c r="T7" s="298" t="s">
        <v>129</v>
      </c>
    </row>
    <row r="8" spans="1:20">
      <c r="A8" s="292" t="s">
        <v>242</v>
      </c>
      <c r="B8" s="347">
        <v>50</v>
      </c>
      <c r="C8" s="299" t="s">
        <v>243</v>
      </c>
      <c r="D8" s="352">
        <f>入力!D20*1000</f>
        <v>5000000</v>
      </c>
      <c r="E8" s="300">
        <f>D8</f>
        <v>5000000</v>
      </c>
      <c r="F8" s="300">
        <f t="shared" ref="F8" si="1">E8</f>
        <v>5000000</v>
      </c>
      <c r="G8" s="300">
        <f t="shared" si="0"/>
        <v>5000000</v>
      </c>
      <c r="H8" s="300">
        <f t="shared" si="0"/>
        <v>5000000</v>
      </c>
      <c r="I8" s="300">
        <f t="shared" si="0"/>
        <v>5000000</v>
      </c>
      <c r="J8" s="300">
        <f t="shared" si="0"/>
        <v>5000000</v>
      </c>
      <c r="K8" s="300">
        <f t="shared" si="0"/>
        <v>5000000</v>
      </c>
      <c r="L8" s="300">
        <f t="shared" si="0"/>
        <v>5000000</v>
      </c>
      <c r="M8" s="300">
        <f t="shared" si="0"/>
        <v>5000000</v>
      </c>
      <c r="N8" s="301">
        <f t="shared" si="0"/>
        <v>5000000</v>
      </c>
      <c r="Q8" s="302" t="s">
        <v>122</v>
      </c>
      <c r="R8" s="303">
        <v>1</v>
      </c>
      <c r="S8" s="304">
        <v>0.7</v>
      </c>
      <c r="T8" s="305">
        <v>1</v>
      </c>
    </row>
    <row r="9" spans="1:20">
      <c r="A9" s="292" t="s">
        <v>244</v>
      </c>
      <c r="B9" s="306">
        <f>B7/B8</f>
        <v>1</v>
      </c>
      <c r="C9" s="307" t="s">
        <v>245</v>
      </c>
      <c r="D9" s="353">
        <f>株価計算!F8*1000</f>
        <v>200000000</v>
      </c>
      <c r="E9" s="308">
        <f>D9+E7*(1-$E$4)-E8</f>
        <v>196590664</v>
      </c>
      <c r="F9" s="308">
        <f t="shared" ref="F9:N9" si="2">E9+F7*(1-$E$4)-F8</f>
        <v>193181328</v>
      </c>
      <c r="G9" s="308">
        <f t="shared" si="2"/>
        <v>189771992</v>
      </c>
      <c r="H9" s="308">
        <f t="shared" si="2"/>
        <v>186362656</v>
      </c>
      <c r="I9" s="308">
        <f t="shared" si="2"/>
        <v>182953320</v>
      </c>
      <c r="J9" s="308">
        <f t="shared" si="2"/>
        <v>179543984</v>
      </c>
      <c r="K9" s="308">
        <f t="shared" si="2"/>
        <v>176134648</v>
      </c>
      <c r="L9" s="308">
        <f t="shared" si="2"/>
        <v>172725312</v>
      </c>
      <c r="M9" s="308">
        <f t="shared" si="2"/>
        <v>169315976</v>
      </c>
      <c r="N9" s="309">
        <f t="shared" si="2"/>
        <v>165906640</v>
      </c>
      <c r="Q9" s="310" t="s">
        <v>117</v>
      </c>
      <c r="R9" s="311">
        <v>2</v>
      </c>
      <c r="S9" s="312">
        <v>0.6</v>
      </c>
      <c r="T9" s="313">
        <v>0.9</v>
      </c>
    </row>
    <row r="10" spans="1:20">
      <c r="Q10" s="310" t="s">
        <v>118</v>
      </c>
      <c r="R10" s="311">
        <v>3</v>
      </c>
      <c r="S10" s="312">
        <v>0.6</v>
      </c>
      <c r="T10" s="313">
        <v>0.75</v>
      </c>
    </row>
    <row r="11" spans="1:20">
      <c r="B11" s="314" t="s">
        <v>246</v>
      </c>
      <c r="C11" s="315" t="s">
        <v>247</v>
      </c>
      <c r="D11" s="316">
        <f t="shared" ref="D11:N11" si="3">D7/$B$6/$B$9*IF(D7&lt;0,0,1)</f>
        <v>140</v>
      </c>
      <c r="E11" s="316">
        <f t="shared" si="3"/>
        <v>11.361885714285716</v>
      </c>
      <c r="F11" s="316">
        <f t="shared" si="3"/>
        <v>11.361885714285716</v>
      </c>
      <c r="G11" s="316">
        <f t="shared" si="3"/>
        <v>11.361885714285716</v>
      </c>
      <c r="H11" s="316">
        <f t="shared" si="3"/>
        <v>11.361885714285716</v>
      </c>
      <c r="I11" s="316">
        <f t="shared" si="3"/>
        <v>11.361885714285716</v>
      </c>
      <c r="J11" s="316">
        <f t="shared" si="3"/>
        <v>11.361885714285716</v>
      </c>
      <c r="K11" s="316">
        <f t="shared" si="3"/>
        <v>11.361885714285716</v>
      </c>
      <c r="L11" s="316">
        <f t="shared" si="3"/>
        <v>11.361885714285716</v>
      </c>
      <c r="M11" s="316">
        <f t="shared" si="3"/>
        <v>11.361885714285716</v>
      </c>
      <c r="N11" s="317">
        <f t="shared" si="3"/>
        <v>11.361885714285716</v>
      </c>
      <c r="Q11" s="310" t="s">
        <v>119</v>
      </c>
      <c r="R11" s="311">
        <v>4</v>
      </c>
      <c r="S11" s="312">
        <v>0.6</v>
      </c>
      <c r="T11" s="313">
        <v>0.6</v>
      </c>
    </row>
    <row r="12" spans="1:20">
      <c r="B12" s="318"/>
      <c r="C12" s="319" t="s">
        <v>243</v>
      </c>
      <c r="D12" s="320">
        <f t="shared" ref="D12:N12" si="4">D8/$B$6</f>
        <v>25</v>
      </c>
      <c r="E12" s="320">
        <f t="shared" si="4"/>
        <v>25</v>
      </c>
      <c r="F12" s="320">
        <f t="shared" si="4"/>
        <v>25</v>
      </c>
      <c r="G12" s="320">
        <f t="shared" si="4"/>
        <v>25</v>
      </c>
      <c r="H12" s="320">
        <f t="shared" si="4"/>
        <v>25</v>
      </c>
      <c r="I12" s="320">
        <f t="shared" si="4"/>
        <v>25</v>
      </c>
      <c r="J12" s="320">
        <f t="shared" si="4"/>
        <v>25</v>
      </c>
      <c r="K12" s="320">
        <f t="shared" si="4"/>
        <v>25</v>
      </c>
      <c r="L12" s="320">
        <f t="shared" si="4"/>
        <v>25</v>
      </c>
      <c r="M12" s="320">
        <f t="shared" si="4"/>
        <v>25</v>
      </c>
      <c r="N12" s="321">
        <f t="shared" si="4"/>
        <v>25</v>
      </c>
      <c r="Q12" s="310" t="s">
        <v>120</v>
      </c>
      <c r="R12" s="322">
        <v>5</v>
      </c>
      <c r="S12" s="323">
        <v>0.5</v>
      </c>
      <c r="T12" s="324">
        <v>0.5</v>
      </c>
    </row>
    <row r="13" spans="1:20">
      <c r="B13" s="307"/>
      <c r="C13" s="325" t="s">
        <v>245</v>
      </c>
      <c r="D13" s="320">
        <f>D23/$B$9</f>
        <v>1000</v>
      </c>
      <c r="E13" s="326">
        <f t="shared" ref="E13:N13" si="5">E23/$B$9</f>
        <v>982.95331999999996</v>
      </c>
      <c r="F13" s="326">
        <f t="shared" si="5"/>
        <v>965.90664000000004</v>
      </c>
      <c r="G13" s="326">
        <f t="shared" si="5"/>
        <v>948.85996</v>
      </c>
      <c r="H13" s="326">
        <f t="shared" si="5"/>
        <v>931.81327999999996</v>
      </c>
      <c r="I13" s="326">
        <f t="shared" si="5"/>
        <v>914.76660000000004</v>
      </c>
      <c r="J13" s="326">
        <f t="shared" si="5"/>
        <v>897.71992</v>
      </c>
      <c r="K13" s="326">
        <f t="shared" si="5"/>
        <v>880.67323999999996</v>
      </c>
      <c r="L13" s="326">
        <f t="shared" si="5"/>
        <v>863.62656000000004</v>
      </c>
      <c r="M13" s="326">
        <f t="shared" si="5"/>
        <v>846.57988</v>
      </c>
      <c r="N13" s="327">
        <f t="shared" si="5"/>
        <v>829.53319999999997</v>
      </c>
      <c r="Q13" s="74" t="s">
        <v>121</v>
      </c>
      <c r="R13" s="298"/>
      <c r="S13" s="328"/>
      <c r="T13" s="329">
        <v>0.25</v>
      </c>
    </row>
    <row r="14" spans="1:20">
      <c r="B14" s="330" t="s">
        <v>248</v>
      </c>
      <c r="C14" s="318" t="s">
        <v>247</v>
      </c>
      <c r="D14" s="348">
        <f>入力!G18</f>
        <v>47</v>
      </c>
      <c r="E14" s="354">
        <f>D14</f>
        <v>47</v>
      </c>
      <c r="F14" s="354">
        <f>D14</f>
        <v>47</v>
      </c>
      <c r="G14" s="354">
        <f t="shared" ref="G14:N17" si="6">F14</f>
        <v>47</v>
      </c>
      <c r="H14" s="354">
        <f t="shared" si="6"/>
        <v>47</v>
      </c>
      <c r="I14" s="354">
        <f t="shared" si="6"/>
        <v>47</v>
      </c>
      <c r="J14" s="354">
        <f t="shared" si="6"/>
        <v>47</v>
      </c>
      <c r="K14" s="354">
        <f t="shared" si="6"/>
        <v>47</v>
      </c>
      <c r="L14" s="354">
        <f t="shared" si="6"/>
        <v>47</v>
      </c>
      <c r="M14" s="354">
        <f t="shared" si="6"/>
        <v>47</v>
      </c>
      <c r="N14" s="355">
        <f t="shared" si="6"/>
        <v>47</v>
      </c>
      <c r="Q14" s="289">
        <f>株価計算!L38</f>
        <v>5</v>
      </c>
    </row>
    <row r="15" spans="1:20">
      <c r="B15" s="319"/>
      <c r="C15" s="318" t="s">
        <v>243</v>
      </c>
      <c r="D15" s="349">
        <f>入力!G17</f>
        <v>4.3</v>
      </c>
      <c r="E15" s="354">
        <f>D15</f>
        <v>4.3</v>
      </c>
      <c r="F15" s="354">
        <f>D15</f>
        <v>4.3</v>
      </c>
      <c r="G15" s="354">
        <f t="shared" si="6"/>
        <v>4.3</v>
      </c>
      <c r="H15" s="354">
        <f t="shared" si="6"/>
        <v>4.3</v>
      </c>
      <c r="I15" s="354">
        <f t="shared" si="6"/>
        <v>4.3</v>
      </c>
      <c r="J15" s="354">
        <f t="shared" si="6"/>
        <v>4.3</v>
      </c>
      <c r="K15" s="354">
        <f t="shared" si="6"/>
        <v>4.3</v>
      </c>
      <c r="L15" s="354">
        <f t="shared" si="6"/>
        <v>4.3</v>
      </c>
      <c r="M15" s="354">
        <f t="shared" si="6"/>
        <v>4.3</v>
      </c>
      <c r="N15" s="355">
        <f t="shared" si="6"/>
        <v>4.3</v>
      </c>
    </row>
    <row r="16" spans="1:20">
      <c r="B16" s="325"/>
      <c r="C16" s="318" t="s">
        <v>245</v>
      </c>
      <c r="D16" s="349">
        <f>入力!G19</f>
        <v>299</v>
      </c>
      <c r="E16" s="354">
        <f>D16</f>
        <v>299</v>
      </c>
      <c r="F16" s="354">
        <f>D16</f>
        <v>299</v>
      </c>
      <c r="G16" s="354">
        <f t="shared" si="6"/>
        <v>299</v>
      </c>
      <c r="H16" s="354">
        <f t="shared" si="6"/>
        <v>299</v>
      </c>
      <c r="I16" s="354">
        <f t="shared" si="6"/>
        <v>299</v>
      </c>
      <c r="J16" s="354">
        <f t="shared" si="6"/>
        <v>299</v>
      </c>
      <c r="K16" s="354">
        <f t="shared" si="6"/>
        <v>299</v>
      </c>
      <c r="L16" s="354">
        <f t="shared" si="6"/>
        <v>299</v>
      </c>
      <c r="M16" s="354">
        <f t="shared" si="6"/>
        <v>299</v>
      </c>
      <c r="N16" s="355">
        <f t="shared" si="6"/>
        <v>299</v>
      </c>
    </row>
    <row r="17" spans="2:14">
      <c r="B17" s="427" t="s">
        <v>249</v>
      </c>
      <c r="C17" s="428"/>
      <c r="D17" s="350">
        <f>入力!G21</f>
        <v>275</v>
      </c>
      <c r="E17" s="356">
        <f>D17</f>
        <v>275</v>
      </c>
      <c r="F17" s="356">
        <f>E17</f>
        <v>275</v>
      </c>
      <c r="G17" s="356">
        <f t="shared" si="6"/>
        <v>275</v>
      </c>
      <c r="H17" s="356">
        <f t="shared" si="6"/>
        <v>275</v>
      </c>
      <c r="I17" s="356">
        <f t="shared" si="6"/>
        <v>275</v>
      </c>
      <c r="J17" s="356">
        <f t="shared" si="6"/>
        <v>275</v>
      </c>
      <c r="K17" s="356">
        <f t="shared" si="6"/>
        <v>275</v>
      </c>
      <c r="L17" s="356">
        <f t="shared" si="6"/>
        <v>275</v>
      </c>
      <c r="M17" s="356">
        <f t="shared" si="6"/>
        <v>275</v>
      </c>
      <c r="N17" s="357">
        <f t="shared" si="6"/>
        <v>275</v>
      </c>
    </row>
    <row r="19" spans="2:14">
      <c r="C19" s="331" t="s">
        <v>250</v>
      </c>
      <c r="D19" s="332">
        <f>(ROUND(D11/D14,2)+ROUND(D12/D15,2)+ROUND(D13/D16,2))/3</f>
        <v>4.043333333333333</v>
      </c>
      <c r="E19" s="333">
        <f>(ROUND(E11/E14,2)+ROUND(E12/E15,2)+ROUND(E13/E16,2))/3</f>
        <v>3.1133333333333333</v>
      </c>
      <c r="F19" s="333">
        <f t="shared" ref="F19:N19" si="7">(ROUND(F11/F14,2)+ROUND(F12/F15,2)+ROUND(F13/F16,2))/3</f>
        <v>3.0933333333333333</v>
      </c>
      <c r="G19" s="333">
        <f t="shared" si="7"/>
        <v>3.0733333333333328</v>
      </c>
      <c r="H19" s="333">
        <f t="shared" si="7"/>
        <v>3.0566666666666666</v>
      </c>
      <c r="I19" s="333">
        <f t="shared" si="7"/>
        <v>3.0366666666666666</v>
      </c>
      <c r="J19" s="333">
        <f t="shared" si="7"/>
        <v>3.0166666666666671</v>
      </c>
      <c r="K19" s="333">
        <f t="shared" si="7"/>
        <v>3</v>
      </c>
      <c r="L19" s="333">
        <f t="shared" si="7"/>
        <v>2.98</v>
      </c>
      <c r="M19" s="333">
        <f t="shared" si="7"/>
        <v>2.9599999999999995</v>
      </c>
      <c r="N19" s="334">
        <f t="shared" si="7"/>
        <v>2.94</v>
      </c>
    </row>
    <row r="20" spans="2:14">
      <c r="B20" s="289" t="s">
        <v>251</v>
      </c>
      <c r="C20" s="335" t="s">
        <v>252</v>
      </c>
      <c r="D20" s="358">
        <f>VLOOKUP(Q14,TBL,2)</f>
        <v>0.5</v>
      </c>
      <c r="E20" s="359">
        <f t="shared" ref="E20:N22" si="8">D20</f>
        <v>0.5</v>
      </c>
      <c r="F20" s="359">
        <f t="shared" si="8"/>
        <v>0.5</v>
      </c>
      <c r="G20" s="359">
        <f t="shared" si="8"/>
        <v>0.5</v>
      </c>
      <c r="H20" s="359">
        <f t="shared" si="8"/>
        <v>0.5</v>
      </c>
      <c r="I20" s="359">
        <f t="shared" si="8"/>
        <v>0.5</v>
      </c>
      <c r="J20" s="359">
        <f t="shared" si="8"/>
        <v>0.5</v>
      </c>
      <c r="K20" s="359">
        <f t="shared" si="8"/>
        <v>0.5</v>
      </c>
      <c r="L20" s="359">
        <f t="shared" si="8"/>
        <v>0.5</v>
      </c>
      <c r="M20" s="359">
        <f t="shared" si="8"/>
        <v>0.5</v>
      </c>
      <c r="N20" s="360">
        <f t="shared" si="8"/>
        <v>0.5</v>
      </c>
    </row>
    <row r="21" spans="2:14">
      <c r="C21" s="336" t="s">
        <v>253</v>
      </c>
      <c r="D21" s="361">
        <f>B9</f>
        <v>1</v>
      </c>
      <c r="E21" s="362">
        <f t="shared" si="8"/>
        <v>1</v>
      </c>
      <c r="F21" s="362">
        <f t="shared" si="8"/>
        <v>1</v>
      </c>
      <c r="G21" s="362">
        <f t="shared" si="8"/>
        <v>1</v>
      </c>
      <c r="H21" s="362">
        <f t="shared" si="8"/>
        <v>1</v>
      </c>
      <c r="I21" s="362">
        <f t="shared" si="8"/>
        <v>1</v>
      </c>
      <c r="J21" s="362">
        <f t="shared" si="8"/>
        <v>1</v>
      </c>
      <c r="K21" s="362">
        <f t="shared" si="8"/>
        <v>1</v>
      </c>
      <c r="L21" s="362">
        <f t="shared" si="8"/>
        <v>1</v>
      </c>
      <c r="M21" s="362">
        <f t="shared" si="8"/>
        <v>1</v>
      </c>
      <c r="N21" s="363">
        <f t="shared" si="8"/>
        <v>1</v>
      </c>
    </row>
    <row r="22" spans="2:14">
      <c r="C22" s="336" t="s">
        <v>254</v>
      </c>
      <c r="D22" s="364">
        <f>VLOOKUP(Q14,TBL,3)</f>
        <v>0.5</v>
      </c>
      <c r="E22" s="365">
        <f t="shared" si="8"/>
        <v>0.5</v>
      </c>
      <c r="F22" s="365">
        <f t="shared" si="8"/>
        <v>0.5</v>
      </c>
      <c r="G22" s="365">
        <f t="shared" si="8"/>
        <v>0.5</v>
      </c>
      <c r="H22" s="365">
        <f t="shared" si="8"/>
        <v>0.5</v>
      </c>
      <c r="I22" s="365">
        <f t="shared" si="8"/>
        <v>0.5</v>
      </c>
      <c r="J22" s="365">
        <f t="shared" si="8"/>
        <v>0.5</v>
      </c>
      <c r="K22" s="365">
        <f t="shared" si="8"/>
        <v>0.5</v>
      </c>
      <c r="L22" s="365">
        <f t="shared" si="8"/>
        <v>0.5</v>
      </c>
      <c r="M22" s="365">
        <f t="shared" si="8"/>
        <v>0.5</v>
      </c>
      <c r="N22" s="366">
        <f t="shared" si="8"/>
        <v>0.5</v>
      </c>
    </row>
    <row r="23" spans="2:14">
      <c r="C23" s="337" t="s">
        <v>255</v>
      </c>
      <c r="D23" s="409">
        <f>D9/$B$6</f>
        <v>1000</v>
      </c>
      <c r="E23" s="338">
        <f t="shared" ref="E23:N23" si="9">E9/$B$6</f>
        <v>982.95331999999996</v>
      </c>
      <c r="F23" s="338">
        <f t="shared" si="9"/>
        <v>965.90664000000004</v>
      </c>
      <c r="G23" s="338">
        <f t="shared" si="9"/>
        <v>948.85996</v>
      </c>
      <c r="H23" s="338">
        <f t="shared" si="9"/>
        <v>931.81327999999996</v>
      </c>
      <c r="I23" s="338">
        <f t="shared" si="9"/>
        <v>914.76660000000004</v>
      </c>
      <c r="J23" s="338">
        <f t="shared" si="9"/>
        <v>897.71992</v>
      </c>
      <c r="K23" s="338">
        <f t="shared" si="9"/>
        <v>880.67323999999996</v>
      </c>
      <c r="L23" s="338">
        <f t="shared" si="9"/>
        <v>863.62656000000004</v>
      </c>
      <c r="M23" s="338">
        <f t="shared" si="9"/>
        <v>846.57988</v>
      </c>
      <c r="N23" s="339">
        <f t="shared" si="9"/>
        <v>829.53319999999997</v>
      </c>
    </row>
    <row r="24" spans="2:14">
      <c r="C24" s="337" t="s">
        <v>256</v>
      </c>
      <c r="D24" s="340">
        <f>D17*D19*D20*D21</f>
        <v>555.95833333333326</v>
      </c>
      <c r="E24" s="341">
        <f>E17*E19*E20*E21</f>
        <v>428.08333333333331</v>
      </c>
      <c r="F24" s="341">
        <f>F17*F19*F20*F21</f>
        <v>425.33333333333331</v>
      </c>
      <c r="G24" s="341">
        <f t="shared" ref="G24:N24" si="10">G17*G19*G20*G21</f>
        <v>422.58333333333326</v>
      </c>
      <c r="H24" s="341">
        <f>H17*H19*H20*H21</f>
        <v>420.29166666666669</v>
      </c>
      <c r="I24" s="341">
        <f t="shared" si="10"/>
        <v>417.54166666666669</v>
      </c>
      <c r="J24" s="341">
        <f t="shared" si="10"/>
        <v>414.79166666666674</v>
      </c>
      <c r="K24" s="341">
        <f t="shared" si="10"/>
        <v>412.5</v>
      </c>
      <c r="L24" s="341">
        <f t="shared" si="10"/>
        <v>409.75</v>
      </c>
      <c r="M24" s="341">
        <f t="shared" si="10"/>
        <v>406.99999999999994</v>
      </c>
      <c r="N24" s="342">
        <f t="shared" si="10"/>
        <v>404.25</v>
      </c>
    </row>
    <row r="25" spans="2:14">
      <c r="C25" s="337" t="s">
        <v>257</v>
      </c>
      <c r="D25" s="343">
        <f t="shared" ref="D25:N25" si="11">D24*D22+D23*(1-D22)</f>
        <v>777.97916666666663</v>
      </c>
      <c r="E25" s="338">
        <f t="shared" si="11"/>
        <v>705.51832666666667</v>
      </c>
      <c r="F25" s="338">
        <f t="shared" si="11"/>
        <v>695.6199866666667</v>
      </c>
      <c r="G25" s="338">
        <f t="shared" si="11"/>
        <v>685.72164666666663</v>
      </c>
      <c r="H25" s="338">
        <f t="shared" si="11"/>
        <v>676.0524733333333</v>
      </c>
      <c r="I25" s="338">
        <f t="shared" si="11"/>
        <v>666.15413333333333</v>
      </c>
      <c r="J25" s="338">
        <f t="shared" si="11"/>
        <v>656.25579333333337</v>
      </c>
      <c r="K25" s="338">
        <f t="shared" si="11"/>
        <v>646.58662000000004</v>
      </c>
      <c r="L25" s="338">
        <f t="shared" si="11"/>
        <v>636.68828000000008</v>
      </c>
      <c r="M25" s="338">
        <f t="shared" si="11"/>
        <v>626.78994</v>
      </c>
      <c r="N25" s="339">
        <f t="shared" si="11"/>
        <v>616.89159999999993</v>
      </c>
    </row>
    <row r="27" spans="2:14">
      <c r="C27" s="367" t="s">
        <v>258</v>
      </c>
      <c r="D27" s="367">
        <f t="shared" ref="D27:N27" si="12">MIN(D23,D25)</f>
        <v>777.97916666666663</v>
      </c>
      <c r="E27" s="367">
        <f t="shared" si="12"/>
        <v>705.51832666666667</v>
      </c>
      <c r="F27" s="367">
        <f t="shared" si="12"/>
        <v>695.6199866666667</v>
      </c>
      <c r="G27" s="367">
        <f t="shared" si="12"/>
        <v>685.72164666666663</v>
      </c>
      <c r="H27" s="367">
        <f t="shared" si="12"/>
        <v>676.0524733333333</v>
      </c>
      <c r="I27" s="367">
        <f t="shared" si="12"/>
        <v>666.15413333333333</v>
      </c>
      <c r="J27" s="367">
        <f t="shared" si="12"/>
        <v>656.25579333333337</v>
      </c>
      <c r="K27" s="367">
        <f t="shared" si="12"/>
        <v>646.58662000000004</v>
      </c>
      <c r="L27" s="367">
        <f t="shared" si="12"/>
        <v>636.68828000000008</v>
      </c>
      <c r="M27" s="367">
        <f t="shared" si="12"/>
        <v>626.78994</v>
      </c>
      <c r="N27" s="367">
        <f t="shared" si="12"/>
        <v>616.89159999999993</v>
      </c>
    </row>
    <row r="28" spans="2:14">
      <c r="C28" s="344" t="s">
        <v>259</v>
      </c>
      <c r="D28" s="344">
        <f t="shared" ref="D28:N28" si="13">D27*$B$6</f>
        <v>155595833.33333331</v>
      </c>
      <c r="E28" s="344">
        <f t="shared" si="13"/>
        <v>141103665.33333334</v>
      </c>
      <c r="F28" s="344">
        <f t="shared" si="13"/>
        <v>139123997.33333334</v>
      </c>
      <c r="G28" s="344">
        <f t="shared" si="13"/>
        <v>137144329.33333331</v>
      </c>
      <c r="H28" s="344">
        <f t="shared" si="13"/>
        <v>135210494.66666666</v>
      </c>
      <c r="I28" s="344">
        <f t="shared" si="13"/>
        <v>133230826.66666667</v>
      </c>
      <c r="J28" s="344">
        <f t="shared" si="13"/>
        <v>131251158.66666667</v>
      </c>
      <c r="K28" s="344">
        <f t="shared" si="13"/>
        <v>129317324.00000001</v>
      </c>
      <c r="L28" s="344">
        <f t="shared" si="13"/>
        <v>127337656.00000001</v>
      </c>
      <c r="M28" s="344">
        <f t="shared" si="13"/>
        <v>125357988</v>
      </c>
      <c r="N28" s="344">
        <f t="shared" si="13"/>
        <v>123378319.99999999</v>
      </c>
    </row>
  </sheetData>
  <mergeCells count="1">
    <mergeCell ref="B17:C17"/>
  </mergeCells>
  <phoneticPr fontId="3"/>
  <pageMargins left="0.7" right="0.7" top="0.75" bottom="0.75" header="0.3" footer="0.3"/>
  <pageSetup paperSize="9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autoLine="0" autoPict="0">
                <anchor moveWithCells="1">
                  <from>
                    <xdr:col>0</xdr:col>
                    <xdr:colOff>863600</xdr:colOff>
                    <xdr:row>18</xdr:row>
                    <xdr:rowOff>215900</xdr:rowOff>
                  </from>
                  <to>
                    <xdr:col>1</xdr:col>
                    <xdr:colOff>1079500</xdr:colOff>
                    <xdr:row>19</xdr:row>
                    <xdr:rowOff>228600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1"/>
  <sheetViews>
    <sheetView workbookViewId="0">
      <selection activeCell="E9" sqref="E9"/>
    </sheetView>
  </sheetViews>
  <sheetFormatPr baseColWidth="12" defaultColWidth="13.7109375" defaultRowHeight="15" x14ac:dyDescent="0"/>
  <cols>
    <col min="3" max="3" width="6.85546875" style="92" customWidth="1"/>
    <col min="4" max="4" width="13.7109375" style="100"/>
    <col min="5" max="5" width="32.28515625" customWidth="1"/>
  </cols>
  <sheetData>
    <row r="1" spans="3:5">
      <c r="C1" s="92">
        <f>MAX(C3:C48)</f>
        <v>1.05</v>
      </c>
      <c r="D1" s="95">
        <f>MAX(D3:D48)</f>
        <v>43804</v>
      </c>
    </row>
    <row r="2" spans="3:5">
      <c r="C2" s="93" t="s">
        <v>135</v>
      </c>
      <c r="D2" s="96" t="s">
        <v>136</v>
      </c>
      <c r="E2" s="94" t="s">
        <v>137</v>
      </c>
    </row>
    <row r="3" spans="3:5">
      <c r="C3" s="89">
        <v>1</v>
      </c>
      <c r="D3" s="97">
        <v>43597</v>
      </c>
      <c r="E3" s="84"/>
    </row>
    <row r="4" spans="3:5">
      <c r="C4" s="90">
        <v>1.01</v>
      </c>
      <c r="D4" s="98">
        <v>43597</v>
      </c>
      <c r="E4" s="86" t="s">
        <v>141</v>
      </c>
    </row>
    <row r="5" spans="3:5">
      <c r="C5" s="90">
        <v>1.02</v>
      </c>
      <c r="D5" s="98">
        <v>43606</v>
      </c>
      <c r="E5" s="86" t="s">
        <v>209</v>
      </c>
    </row>
    <row r="6" spans="3:5">
      <c r="C6" s="90">
        <v>1.03</v>
      </c>
      <c r="D6" s="98">
        <v>43627</v>
      </c>
      <c r="E6" s="86" t="s">
        <v>226</v>
      </c>
    </row>
    <row r="7" spans="3:5">
      <c r="C7" s="90">
        <v>1.04</v>
      </c>
      <c r="D7" s="98">
        <v>43637</v>
      </c>
      <c r="E7" s="86" t="s">
        <v>295</v>
      </c>
    </row>
    <row r="8" spans="3:5">
      <c r="C8" s="90">
        <v>1.05</v>
      </c>
      <c r="D8" s="98">
        <v>43804</v>
      </c>
      <c r="E8" s="86" t="s">
        <v>298</v>
      </c>
    </row>
    <row r="9" spans="3:5">
      <c r="C9" s="90"/>
      <c r="D9" s="98"/>
      <c r="E9" s="86"/>
    </row>
    <row r="10" spans="3:5">
      <c r="C10" s="90"/>
      <c r="D10" s="98"/>
      <c r="E10" s="86"/>
    </row>
    <row r="11" spans="3:5">
      <c r="C11" s="90"/>
      <c r="D11" s="98"/>
      <c r="E11" s="86"/>
    </row>
    <row r="12" spans="3:5">
      <c r="C12" s="90"/>
      <c r="D12" s="98"/>
      <c r="E12" s="86"/>
    </row>
    <row r="13" spans="3:5">
      <c r="C13" s="90"/>
      <c r="D13" s="98"/>
      <c r="E13" s="86"/>
    </row>
    <row r="14" spans="3:5">
      <c r="C14" s="90"/>
      <c r="D14" s="98"/>
      <c r="E14" s="86"/>
    </row>
    <row r="15" spans="3:5">
      <c r="C15" s="90"/>
      <c r="D15" s="98"/>
      <c r="E15" s="86"/>
    </row>
    <row r="16" spans="3:5">
      <c r="C16" s="90"/>
      <c r="D16" s="98"/>
      <c r="E16" s="86"/>
    </row>
    <row r="17" spans="3:5">
      <c r="C17" s="90"/>
      <c r="D17" s="98"/>
      <c r="E17" s="86"/>
    </row>
    <row r="18" spans="3:5">
      <c r="C18" s="90"/>
      <c r="D18" s="98"/>
      <c r="E18" s="86"/>
    </row>
    <row r="19" spans="3:5">
      <c r="C19" s="90"/>
      <c r="D19" s="98"/>
      <c r="E19" s="86"/>
    </row>
    <row r="20" spans="3:5">
      <c r="C20" s="90"/>
      <c r="D20" s="98"/>
      <c r="E20" s="86"/>
    </row>
    <row r="21" spans="3:5">
      <c r="C21" s="90"/>
      <c r="D21" s="98"/>
      <c r="E21" s="86"/>
    </row>
    <row r="22" spans="3:5">
      <c r="C22" s="90"/>
      <c r="D22" s="98"/>
      <c r="E22" s="86"/>
    </row>
    <row r="23" spans="3:5">
      <c r="C23" s="90"/>
      <c r="D23" s="98"/>
      <c r="E23" s="86"/>
    </row>
    <row r="24" spans="3:5">
      <c r="C24" s="90"/>
      <c r="D24" s="98"/>
      <c r="E24" s="86"/>
    </row>
    <row r="25" spans="3:5">
      <c r="C25" s="90"/>
      <c r="D25" s="98"/>
      <c r="E25" s="86"/>
    </row>
    <row r="26" spans="3:5">
      <c r="C26" s="90"/>
      <c r="D26" s="98"/>
      <c r="E26" s="86"/>
    </row>
    <row r="27" spans="3:5">
      <c r="C27" s="90"/>
      <c r="D27" s="98"/>
      <c r="E27" s="86"/>
    </row>
    <row r="28" spans="3:5">
      <c r="C28" s="90"/>
      <c r="D28" s="98"/>
      <c r="E28" s="86"/>
    </row>
    <row r="29" spans="3:5">
      <c r="C29" s="90"/>
      <c r="D29" s="98"/>
      <c r="E29" s="86"/>
    </row>
    <row r="30" spans="3:5">
      <c r="C30" s="90"/>
      <c r="D30" s="98"/>
      <c r="E30" s="86"/>
    </row>
    <row r="31" spans="3:5">
      <c r="C31" s="90"/>
      <c r="D31" s="98"/>
      <c r="E31" s="86"/>
    </row>
    <row r="32" spans="3:5">
      <c r="C32" s="90"/>
      <c r="D32" s="98"/>
      <c r="E32" s="86"/>
    </row>
    <row r="33" spans="3:5">
      <c r="C33" s="90"/>
      <c r="D33" s="98"/>
      <c r="E33" s="86"/>
    </row>
    <row r="34" spans="3:5">
      <c r="C34" s="90"/>
      <c r="D34" s="98"/>
      <c r="E34" s="86"/>
    </row>
    <row r="35" spans="3:5">
      <c r="C35" s="90"/>
      <c r="D35" s="98"/>
      <c r="E35" s="86"/>
    </row>
    <row r="36" spans="3:5">
      <c r="C36" s="90"/>
      <c r="D36" s="98"/>
      <c r="E36" s="86"/>
    </row>
    <row r="37" spans="3:5">
      <c r="C37" s="90"/>
      <c r="D37" s="98"/>
      <c r="E37" s="86"/>
    </row>
    <row r="38" spans="3:5">
      <c r="C38" s="90"/>
      <c r="D38" s="98"/>
      <c r="E38" s="86"/>
    </row>
    <row r="39" spans="3:5">
      <c r="C39" s="90"/>
      <c r="D39" s="98"/>
      <c r="E39" s="86"/>
    </row>
    <row r="40" spans="3:5">
      <c r="C40" s="90"/>
      <c r="D40" s="98"/>
      <c r="E40" s="86"/>
    </row>
    <row r="41" spans="3:5">
      <c r="C41" s="90"/>
      <c r="D41" s="98"/>
      <c r="E41" s="86"/>
    </row>
    <row r="42" spans="3:5">
      <c r="C42" s="90"/>
      <c r="D42" s="98"/>
      <c r="E42" s="86"/>
    </row>
    <row r="43" spans="3:5">
      <c r="C43" s="90"/>
      <c r="D43" s="98"/>
      <c r="E43" s="86"/>
    </row>
    <row r="44" spans="3:5">
      <c r="C44" s="90"/>
      <c r="D44" s="98"/>
      <c r="E44" s="86"/>
    </row>
    <row r="45" spans="3:5">
      <c r="C45" s="90"/>
      <c r="D45" s="98"/>
      <c r="E45" s="86"/>
    </row>
    <row r="46" spans="3:5">
      <c r="C46" s="90"/>
      <c r="D46" s="98"/>
      <c r="E46" s="86"/>
    </row>
    <row r="47" spans="3:5">
      <c r="C47" s="90"/>
      <c r="D47" s="98"/>
      <c r="E47" s="86"/>
    </row>
    <row r="48" spans="3:5">
      <c r="C48" s="90"/>
      <c r="D48" s="98"/>
      <c r="E48" s="86"/>
    </row>
    <row r="49" spans="3:5">
      <c r="C49" s="90"/>
      <c r="D49" s="98"/>
      <c r="E49" s="86"/>
    </row>
    <row r="50" spans="3:5">
      <c r="C50" s="90"/>
      <c r="D50" s="98"/>
      <c r="E50" s="86"/>
    </row>
    <row r="51" spans="3:5">
      <c r="C51" s="91"/>
      <c r="D51" s="99"/>
      <c r="E51" s="88"/>
    </row>
  </sheetData>
  <phoneticPr fontId="3"/>
  <pageMargins left="0.7" right="0.7" top="0.75" bottom="0.75" header="0.3" footer="0.3"/>
  <pageSetup paperSize="9"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入力</vt:lpstr>
      <vt:lpstr>ニーズ仮説</vt:lpstr>
      <vt:lpstr>ニーズの考え方</vt:lpstr>
      <vt:lpstr>株価計算</vt:lpstr>
      <vt:lpstr>資産税</vt:lpstr>
      <vt:lpstr>株主資本変動</vt:lpstr>
      <vt:lpstr>株価10年推移</vt:lpstr>
      <vt:lpstr>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 TOSHIHIRO</cp:lastModifiedBy>
  <dcterms:created xsi:type="dcterms:W3CDTF">2019-05-10T11:23:58Z</dcterms:created>
  <dcterms:modified xsi:type="dcterms:W3CDTF">2020-09-28T15:23:32Z</dcterms:modified>
</cp:coreProperties>
</file>